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Master Inventory" sheetId="2" state="visible" r:id="rId2"/>
    <sheet xmlns:r="http://schemas.openxmlformats.org/officeDocument/2006/relationships" name="ABC Analysis" sheetId="3" state="visible" r:id="rId3"/>
    <sheet xmlns:r="http://schemas.openxmlformats.org/officeDocument/2006/relationships" name="Count Schedule" sheetId="4" state="visible" r:id="rId4"/>
    <sheet xmlns:r="http://schemas.openxmlformats.org/officeDocument/2006/relationships" name="Blind Count Entry" sheetId="5" state="visible" r:id="rId5"/>
    <sheet xmlns:r="http://schemas.openxmlformats.org/officeDocument/2006/relationships" name="Variance Review" sheetId="6" state="visible" r:id="rId6"/>
    <sheet xmlns:r="http://schemas.openxmlformats.org/officeDocument/2006/relationships" name="Dashboard" sheetId="7" state="visible" r:id="rId7"/>
  </sheets>
  <definedNames/>
  <calcPr calcId="124519" fullCalcOnLoad="1"/>
</workbook>
</file>

<file path=xl/styles.xml><?xml version="1.0" encoding="utf-8"?>
<styleSheet xmlns="http://schemas.openxmlformats.org/spreadsheetml/2006/main">
  <numFmts count="4">
    <numFmt numFmtId="164" formatCode="&quot;$&quot;#,##0.00"/>
    <numFmt numFmtId="165" formatCode="0.0%"/>
    <numFmt numFmtId="166" formatCode="yyyy-mm-dd h:mm:ss"/>
    <numFmt numFmtId="167" formatCode="yyyy-mm-dd"/>
  </numFmts>
  <fonts count="7">
    <font>
      <name val="Calibri"/>
      <family val="2"/>
      <color theme="1"/>
      <sz val="11"/>
      <scheme val="minor"/>
    </font>
    <font>
      <name val="Arial"/>
      <b val="1"/>
      <sz val="10"/>
    </font>
    <font>
      <name val="Arial"/>
      <i val="1"/>
      <sz val="9"/>
    </font>
    <font>
      <name val="Arial"/>
      <sz val="10"/>
    </font>
    <font>
      <name val="Arial"/>
      <b val="1"/>
      <color rgb="00FFFFFF"/>
      <sz val="10"/>
    </font>
    <font>
      <name val="Arial"/>
      <color rgb="000000CC"/>
      <sz val="10"/>
    </font>
    <font>
      <name val="Arial"/>
      <b val="1"/>
      <sz val="13"/>
    </font>
  </fonts>
  <fills count="4">
    <fill>
      <patternFill/>
    </fill>
    <fill>
      <patternFill patternType="gray125"/>
    </fill>
    <fill>
      <patternFill patternType="solid">
        <fgColor rgb="001F3864"/>
      </patternFill>
    </fill>
    <fill>
      <patternFill patternType="solid">
        <fgColor rgb="00FFF2A8"/>
      </patternFill>
    </fill>
  </fills>
  <borders count="1">
    <border>
      <left/>
      <right/>
      <top/>
      <bottom/>
      <diagonal/>
    </border>
  </borders>
  <cellStyleXfs count="1">
    <xf numFmtId="0" fontId="0" fillId="0" borderId="0"/>
  </cellStyleXfs>
  <cellXfs count="21">
    <xf numFmtId="0" fontId="0" fillId="0" borderId="0" pivotButton="0" quotePrefix="0" xfId="0"/>
    <xf numFmtId="0" fontId="1" fillId="0" borderId="0" applyAlignment="1" pivotButton="0" quotePrefix="0" xfId="0">
      <alignment vertical="top" wrapText="1"/>
    </xf>
    <xf numFmtId="0" fontId="2" fillId="0" borderId="0" applyAlignment="1" pivotButton="0" quotePrefix="0" xfId="0">
      <alignment vertical="top" wrapText="1"/>
    </xf>
    <xf numFmtId="0" fontId="3" fillId="0" borderId="0" applyAlignment="1" pivotButton="0" quotePrefix="0" xfId="0">
      <alignment vertical="top" wrapText="1"/>
    </xf>
    <xf numFmtId="0" fontId="4" fillId="2" borderId="0" applyAlignment="1" pivotButton="0" quotePrefix="0" xfId="0">
      <alignment vertical="center"/>
    </xf>
    <xf numFmtId="0" fontId="5" fillId="0" borderId="0" applyProtection="1" pivotButton="0" quotePrefix="0" xfId="0">
      <protection locked="0" hidden="0"/>
    </xf>
    <xf numFmtId="4" fontId="5" fillId="0" borderId="0" applyProtection="1" pivotButton="0" quotePrefix="0" xfId="0">
      <protection locked="0" hidden="0"/>
    </xf>
    <xf numFmtId="164" fontId="3" fillId="0" borderId="0" pivotButton="0" quotePrefix="0" xfId="0"/>
    <xf numFmtId="0" fontId="3" fillId="0" borderId="0" pivotButton="0" quotePrefix="0" xfId="0"/>
    <xf numFmtId="165" fontId="3" fillId="0" borderId="0" pivotButton="0" quotePrefix="0" xfId="0"/>
    <xf numFmtId="0" fontId="1" fillId="0" borderId="0" pivotButton="0" quotePrefix="0" xfId="0"/>
    <xf numFmtId="0" fontId="3" fillId="3" borderId="0" applyProtection="1" pivotButton="0" quotePrefix="0" xfId="0">
      <protection locked="0" hidden="0"/>
    </xf>
    <xf numFmtId="167" fontId="5" fillId="0" borderId="0" applyProtection="1" pivotButton="0" quotePrefix="0" xfId="0">
      <protection locked="0" hidden="0"/>
    </xf>
    <xf numFmtId="167" fontId="3" fillId="0" borderId="0" pivotButton="0" quotePrefix="0" xfId="0"/>
    <xf numFmtId="9" fontId="3" fillId="3" borderId="0" applyProtection="1" pivotButton="0" quotePrefix="0" xfId="0">
      <protection locked="0" hidden="0"/>
    </xf>
    <xf numFmtId="0" fontId="2" fillId="0" borderId="0" pivotButton="0" quotePrefix="0" xfId="0"/>
    <xf numFmtId="167" fontId="0" fillId="0" borderId="0" pivotButton="0" quotePrefix="0" xfId="0"/>
    <xf numFmtId="165" fontId="0" fillId="0" borderId="0" pivotButton="0" quotePrefix="0" xfId="0"/>
    <xf numFmtId="9" fontId="0" fillId="0" borderId="0" pivotButton="0" quotePrefix="0" xfId="0"/>
    <xf numFmtId="0" fontId="6" fillId="0" borderId="0" pivotButton="0" quotePrefix="0" xfId="0"/>
    <xf numFmtId="165" fontId="1" fillId="0" borderId="0" pivotButton="0" quotePrefix="0" xfId="0"/>
  </cellXfs>
  <cellStyles count="1">
    <cellStyle name="Normal" xfId="0" builtinId="0" hidden="0"/>
  </cellStyles>
  <dxfs count="3">
    <dxf>
      <font>
        <name val="Arial"/>
        <color rgb="009C0006"/>
        <sz val="10"/>
      </font>
      <fill>
        <patternFill patternType="solid">
          <fgColor rgb="00FFC7CE"/>
        </patternFill>
      </fill>
    </dxf>
    <dxf>
      <font>
        <name val="Arial"/>
        <color rgb="009C6500"/>
        <sz val="10"/>
      </font>
      <fill>
        <patternFill patternType="solid">
          <fgColor rgb="00FFEB9C"/>
        </patternFill>
      </fill>
    </dxf>
    <dxf>
      <font>
        <name val="Arial"/>
        <color rgb="00006100"/>
        <sz val="10"/>
      </font>
      <fill>
        <patternFill patternType="solid">
          <fgColor rgb="00C6EF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ables/table1.xml><?xml version="1.0" encoding="utf-8"?>
<table xmlns="http://schemas.openxmlformats.org/spreadsheetml/2006/main" id="1" name="MasterInventory" displayName="MasterInventory" ref="A1:J21" headerRowCount="1">
  <autoFilter ref="A1:J21"/>
  <tableColumns count="10">
    <tableColumn id="1" name="Item ID"/>
    <tableColumn id="2" name="Description"/>
    <tableColumn id="3" name="Location"/>
    <tableColumn id="4" name="Unit Cost"/>
    <tableColumn id="5" name="System Quantity"/>
    <tableColumn id="6" name="Annual Usage Qty"/>
    <tableColumn id="7" name="Annual Usage Value"/>
    <tableColumn id="8" name="On-Hand Value"/>
    <tableColumn id="9" name="Duplicate ID Check"/>
    <tableColumn id="10" name="Usage Rank"/>
  </tableColumns>
  <tableStyleInfo name="TableStyleMedium2" showRowStripes="1"/>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table" Target="/xl/tables/table1.xml" Id="rId1"/></Relationships>
</file>

<file path=xl/worksheets/sheet1.xml><?xml version="1.0" encoding="utf-8"?>
<worksheet xmlns="http://schemas.openxmlformats.org/spreadsheetml/2006/main">
  <sheetPr>
    <outlinePr summaryBelow="1" summaryRight="1"/>
    <pageSetUpPr/>
  </sheetPr>
  <dimension ref="A1:A27"/>
  <sheetViews>
    <sheetView workbookViewId="0">
      <selection activeCell="A1" sqref="A1"/>
    </sheetView>
  </sheetViews>
  <sheetFormatPr baseColWidth="8" defaultRowHeight="15"/>
  <cols>
    <col width="118" customWidth="1" min="1" max="1"/>
  </cols>
  <sheetData>
    <row r="1">
      <c r="A1" s="1" t="inlineStr">
        <is>
          <t>PickrTech Inventory Cycle Count Template</t>
        </is>
      </c>
    </row>
    <row r="2">
      <c r="A2" s="2" t="inlineStr">
        <is>
          <t>Version 2.1 — 2026-07-29 (append-only count log, dynamic item capacity, population-matched completion rate; unlocked input cells and validation error alerts)</t>
        </is>
      </c>
    </row>
    <row r="3">
      <c r="A3" s="3" t="inlineStr"/>
    </row>
    <row r="4">
      <c r="A4" s="1" t="inlineStr">
        <is>
          <t>HOW THE TABS FIT TOGETHER</t>
        </is>
      </c>
    </row>
    <row r="5">
      <c r="A5" s="3" t="inlineStr">
        <is>
          <t>1. Master Inventory — your item list (a real Excel Table named MasterInventory). Type new items in the row directly below the table; the table and its calculated columns extend automatically.</t>
        </is>
      </c>
    </row>
    <row r="6">
      <c r="A6" s="3" t="inlineStr">
        <is>
          <t>2. ABC Analysis — ranks items by annual usage value with formulas (RANK + INDEX/MATCH). It reclassifies automatically; no manual re-sorting is needed in this file.</t>
        </is>
      </c>
    </row>
    <row r="7">
      <c r="A7" s="3" t="inlineStr">
        <is>
          <t>3. Count Schedule — one row per item, mirroring Master Inventory. Update Last Count Date after each completed count; Next Count Date and OVERDUE status recalculate.</t>
        </is>
      </c>
    </row>
    <row r="8">
      <c r="A8" s="3" t="inlineStr">
        <is>
          <t>4. Blind Count Entry — an APPEND-ONLY log: every count is a new row with its own Count ID. A second count of the same item is a new event and never overwrites the first. System quantities are deliberately not shown here.</t>
        </is>
      </c>
    </row>
    <row r="9">
      <c r="A9" s="3" t="inlineStr">
        <is>
          <t>5. Variance Review — mirrors the count log row by row (matched by Count ID) and adds system quantity, variance, tolerance, first-count result, recount, root cause, and adjustment status.</t>
        </is>
      </c>
    </row>
    <row r="10">
      <c r="A10" s="3" t="inlineStr">
        <is>
          <t>6. Dashboard — live COUNTIFS metrics. No refresh needed.</t>
        </is>
      </c>
    </row>
    <row r="11">
      <c r="A11" s="3" t="inlineStr"/>
    </row>
    <row r="12">
      <c r="A12" s="1" t="inlineStr">
        <is>
          <t>CELL LEGEND</t>
        </is>
      </c>
    </row>
    <row r="13">
      <c r="A13" s="3" t="inlineStr">
        <is>
          <t>Blue text = input cells you edit. Yellow fill = editable assumption cells (frequencies and tolerances). Everything else is formula-driven.</t>
        </is>
      </c>
    </row>
    <row r="14">
      <c r="A14" s="3" t="inlineStr"/>
    </row>
    <row r="15">
      <c r="A15" s="1" t="inlineStr">
        <is>
          <t>CAPACITY</t>
        </is>
      </c>
    </row>
    <row r="16">
      <c r="A16" s="3" t="inlineStr">
        <is>
          <t>Formulas are pre-filled for up to 500 items and 1000 count events. To go beyond, select the last pre-filled formula row on the relevant sheet and fill it down.</t>
        </is>
      </c>
    </row>
    <row r="17">
      <c r="A17" s="3" t="inlineStr"/>
    </row>
    <row r="18">
      <c r="A18" s="1" t="inlineStr">
        <is>
          <t>KEY DEFINITIONS</t>
        </is>
      </c>
    </row>
    <row r="19">
      <c r="A19" s="3" t="inlineStr">
        <is>
          <t>Monthly completion rate = of the scheduled items due on or before month-end, the share that had at least one count event recorded this month. Numerator and denominator use the same item population.</t>
        </is>
      </c>
    </row>
    <row r="20">
      <c r="A20" s="3" t="inlineStr">
        <is>
          <t>First-count pass rate = (MATCH + WITHIN TOLERANCE) / all reviewed count events. It is a pass rate, not an exact-match rate: variances inside the class tolerance count as a pass.</t>
        </is>
      </c>
    </row>
    <row r="21">
      <c r="A21" s="3" t="inlineStr">
        <is>
          <t>Adjustment rule: never adjust the system quantity from the first count alone. RECOUNT items get a second count by a different person; only the verified recount quantity is written back to your system of record, with a root cause logged.</t>
        </is>
      </c>
    </row>
    <row r="22">
      <c r="A22" s="3" t="inlineStr"/>
    </row>
    <row r="23">
      <c r="A23" s="1" t="inlineStr">
        <is>
          <t>SAMPLE DATA — DELETE BEFORE LIVE USE</t>
        </is>
      </c>
    </row>
    <row r="24">
      <c r="A24" s="3" t="inlineStr">
        <is>
          <t>All 20 items and 8 count events are fictional. SKU-1001's Last Count Date is deliberately left stale (counted on 2026-07-10 but not updated) to demonstrate the OVERDUE flag — missed date updates are the most common way schedules quietly die. Dashboard sample metrics assume the file is opened in July 2026 because they use TODAY(); with your own data the dates are always current.</t>
        </is>
      </c>
    </row>
    <row r="25">
      <c r="A25" s="3" t="inlineStr"/>
    </row>
    <row r="26">
      <c r="A26" s="1" t="inlineStr">
        <is>
          <t>COMPATIBILITY</t>
        </is>
      </c>
    </row>
    <row r="27">
      <c r="A27" s="3" t="inlineStr">
        <is>
          <t>All lookups use INDEX/MATCH and plain cell ranges (no XLOOKUP, no structured references inside formulas), so the formula set remains compatible with Excel 2016 and later. Google Sheets import behavior has not been independently verified; test the imported file before relying on it for live inventory decisions.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501"/>
  <sheetViews>
    <sheetView workbookViewId="0">
      <selection activeCell="A1" sqref="A1"/>
    </sheetView>
  </sheetViews>
  <sheetFormatPr baseColWidth="8" defaultRowHeight="15"/>
  <cols>
    <col width="11" customWidth="1" min="1" max="1"/>
    <col width="26" customWidth="1" min="2" max="2"/>
    <col width="9" customWidth="1" min="3" max="3"/>
    <col width="10" customWidth="1" min="4" max="4"/>
    <col width="14" customWidth="1" min="5" max="5"/>
    <col width="15" customWidth="1" min="6" max="6"/>
    <col width="17" customWidth="1" min="7" max="7"/>
    <col width="14" customWidth="1" min="8" max="8"/>
    <col width="16" customWidth="1" min="9" max="9"/>
    <col width="11" customWidth="1" min="10" max="10"/>
  </cols>
  <sheetData>
    <row r="1">
      <c r="A1" s="4" t="inlineStr">
        <is>
          <t>Item ID</t>
        </is>
      </c>
      <c r="B1" s="4" t="inlineStr">
        <is>
          <t>Description</t>
        </is>
      </c>
      <c r="C1" s="4" t="inlineStr">
        <is>
          <t>Location</t>
        </is>
      </c>
      <c r="D1" s="4" t="inlineStr">
        <is>
          <t>Unit Cost</t>
        </is>
      </c>
      <c r="E1" s="4" t="inlineStr">
        <is>
          <t>System Quantity</t>
        </is>
      </c>
      <c r="F1" s="4" t="inlineStr">
        <is>
          <t>Annual Usage Qty</t>
        </is>
      </c>
      <c r="G1" s="4" t="inlineStr">
        <is>
          <t>Annual Usage Value</t>
        </is>
      </c>
      <c r="H1" s="4" t="inlineStr">
        <is>
          <t>On-Hand Value</t>
        </is>
      </c>
      <c r="I1" s="4" t="inlineStr">
        <is>
          <t>Duplicate ID Check</t>
        </is>
      </c>
      <c r="J1" s="4" t="inlineStr">
        <is>
          <t>Usage Rank</t>
        </is>
      </c>
    </row>
    <row r="2">
      <c r="A2" s="5" t="inlineStr">
        <is>
          <t>SKU-1001</t>
        </is>
      </c>
      <c r="B2" s="5" t="inlineStr">
        <is>
          <t>Cordless Drill Kit 18V</t>
        </is>
      </c>
      <c r="C2" s="5" t="inlineStr">
        <is>
          <t>A-01</t>
        </is>
      </c>
      <c r="D2" s="6" t="n">
        <v>89</v>
      </c>
      <c r="E2" s="5" t="n">
        <v>42</v>
      </c>
      <c r="F2" s="5" t="n">
        <v>420</v>
      </c>
      <c r="G2" s="7">
        <f>IF(A2="","",D2*F2)</f>
        <v/>
      </c>
      <c r="H2" s="7">
        <f>IF(A2="","",D2*E2)</f>
        <v/>
      </c>
      <c r="I2" s="8">
        <f>IF(A2="","",IF(COUNTIF($A:$A,A2)&gt;1,"DUPLICATE","OK"))</f>
        <v/>
      </c>
      <c r="J2" s="8">
        <f>IF(A2="","",RANK(G2,$G:$G)+COUNTIF($G$2:G2,G2)-1)</f>
        <v/>
      </c>
    </row>
    <row r="3">
      <c r="A3" s="5" t="inlineStr">
        <is>
          <t>SKU-1002</t>
        </is>
      </c>
      <c r="B3" s="5" t="inlineStr">
        <is>
          <t>Circular Saw 7-1/4 in</t>
        </is>
      </c>
      <c r="C3" s="5" t="inlineStr">
        <is>
          <t>A-02</t>
        </is>
      </c>
      <c r="D3" s="6" t="n">
        <v>129</v>
      </c>
      <c r="E3" s="5" t="n">
        <v>18</v>
      </c>
      <c r="F3" s="5" t="n">
        <v>210</v>
      </c>
      <c r="G3" s="7">
        <f>IF(A3="","",D3*F3)</f>
        <v/>
      </c>
      <c r="H3" s="7">
        <f>IF(A3="","",D3*E3)</f>
        <v/>
      </c>
      <c r="I3" s="8">
        <f>IF(A3="","",IF(COUNTIF($A:$A,A3)&gt;1,"DUPLICATE","OK"))</f>
        <v/>
      </c>
      <c r="J3" s="8">
        <f>IF(A3="","",RANK(G3,$G:$G)+COUNTIF($G$2:G3,G3)-1)</f>
        <v/>
      </c>
    </row>
    <row r="4">
      <c r="A4" s="5" t="inlineStr">
        <is>
          <t>SKU-1003</t>
        </is>
      </c>
      <c r="B4" s="5" t="inlineStr">
        <is>
          <t>Li-Ion Battery Pack 4Ah</t>
        </is>
      </c>
      <c r="C4" s="5" t="inlineStr">
        <is>
          <t>A-03</t>
        </is>
      </c>
      <c r="D4" s="6" t="n">
        <v>59</v>
      </c>
      <c r="E4" s="5" t="n">
        <v>55</v>
      </c>
      <c r="F4" s="5" t="n">
        <v>380</v>
      </c>
      <c r="G4" s="7">
        <f>IF(A4="","",D4*F4)</f>
        <v/>
      </c>
      <c r="H4" s="7">
        <f>IF(A4="","",D4*E4)</f>
        <v/>
      </c>
      <c r="I4" s="8">
        <f>IF(A4="","",IF(COUNTIF($A:$A,A4)&gt;1,"DUPLICATE","OK"))</f>
        <v/>
      </c>
      <c r="J4" s="8">
        <f>IF(A4="","",RANK(G4,$G:$G)+COUNTIF($G$2:G4,G4)-1)</f>
        <v/>
      </c>
    </row>
    <row r="5">
      <c r="A5" s="5" t="inlineStr">
        <is>
          <t>SKU-1004</t>
        </is>
      </c>
      <c r="B5" s="5" t="inlineStr">
        <is>
          <t>Rotary Laser Level</t>
        </is>
      </c>
      <c r="C5" s="5" t="inlineStr">
        <is>
          <t>A-04</t>
        </is>
      </c>
      <c r="D5" s="6" t="n">
        <v>149</v>
      </c>
      <c r="E5" s="5" t="n">
        <v>12</v>
      </c>
      <c r="F5" s="5" t="n">
        <v>95</v>
      </c>
      <c r="G5" s="7">
        <f>IF(A5="","",D5*F5)</f>
        <v/>
      </c>
      <c r="H5" s="7">
        <f>IF(A5="","",D5*E5)</f>
        <v/>
      </c>
      <c r="I5" s="8">
        <f>IF(A5="","",IF(COUNTIF($A:$A,A5)&gt;1,"DUPLICATE","OK"))</f>
        <v/>
      </c>
      <c r="J5" s="8">
        <f>IF(A5="","",RANK(G5,$G:$G)+COUNTIF($G$2:G5,G5)-1)</f>
        <v/>
      </c>
    </row>
    <row r="6">
      <c r="A6" s="5" t="inlineStr">
        <is>
          <t>SKU-1005</t>
        </is>
      </c>
      <c r="B6" s="5" t="inlineStr">
        <is>
          <t>Safety Goggles 12-Pack</t>
        </is>
      </c>
      <c r="C6" s="5" t="inlineStr">
        <is>
          <t>B-01</t>
        </is>
      </c>
      <c r="D6" s="6" t="n">
        <v>24</v>
      </c>
      <c r="E6" s="5" t="n">
        <v>260</v>
      </c>
      <c r="F6" s="5" t="n">
        <v>260</v>
      </c>
      <c r="G6" s="7">
        <f>IF(A6="","",D6*F6)</f>
        <v/>
      </c>
      <c r="H6" s="7">
        <f>IF(A6="","",D6*E6)</f>
        <v/>
      </c>
      <c r="I6" s="8">
        <f>IF(A6="","",IF(COUNTIF($A:$A,A6)&gt;1,"DUPLICATE","OK"))</f>
        <v/>
      </c>
      <c r="J6" s="8">
        <f>IF(A6="","",RANK(G6,$G:$G)+COUNTIF($G$2:G6,G6)-1)</f>
        <v/>
      </c>
    </row>
    <row r="7">
      <c r="A7" s="5" t="inlineStr">
        <is>
          <t>SKU-1006</t>
        </is>
      </c>
      <c r="B7" s="5" t="inlineStr">
        <is>
          <t>Screwdriver Set 24-Pc</t>
        </is>
      </c>
      <c r="C7" s="5" t="inlineStr">
        <is>
          <t>B-02</t>
        </is>
      </c>
      <c r="D7" s="6" t="n">
        <v>32</v>
      </c>
      <c r="E7" s="5" t="n">
        <v>75</v>
      </c>
      <c r="F7" s="5" t="n">
        <v>180</v>
      </c>
      <c r="G7" s="7">
        <f>IF(A7="","",D7*F7)</f>
        <v/>
      </c>
      <c r="H7" s="7">
        <f>IF(A7="","",D7*E7)</f>
        <v/>
      </c>
      <c r="I7" s="8">
        <f>IF(A7="","",IF(COUNTIF($A:$A,A7)&gt;1,"DUPLICATE","OK"))</f>
        <v/>
      </c>
      <c r="J7" s="8">
        <f>IF(A7="","",RANK(G7,$G:$G)+COUNTIF($G$2:G7,G7)-1)</f>
        <v/>
      </c>
    </row>
    <row r="8">
      <c r="A8" s="5" t="inlineStr">
        <is>
          <t>SKU-1007</t>
        </is>
      </c>
      <c r="B8" s="5" t="inlineStr">
        <is>
          <t>Work Gloves Leather Pair</t>
        </is>
      </c>
      <c r="C8" s="5" t="inlineStr">
        <is>
          <t>B-03</t>
        </is>
      </c>
      <c r="D8" s="6" t="n">
        <v>9.5</v>
      </c>
      <c r="E8" s="5" t="n">
        <v>310</v>
      </c>
      <c r="F8" s="5" t="n">
        <v>540</v>
      </c>
      <c r="G8" s="7">
        <f>IF(A8="","",D8*F8)</f>
        <v/>
      </c>
      <c r="H8" s="7">
        <f>IF(A8="","",D8*E8)</f>
        <v/>
      </c>
      <c r="I8" s="8">
        <f>IF(A8="","",IF(COUNTIF($A:$A,A8)&gt;1,"DUPLICATE","OK"))</f>
        <v/>
      </c>
      <c r="J8" s="8">
        <f>IF(A8="","",RANK(G8,$G:$G)+COUNTIF($G$2:G8,G8)-1)</f>
        <v/>
      </c>
    </row>
    <row r="9">
      <c r="A9" s="5" t="inlineStr">
        <is>
          <t>SKU-1008</t>
        </is>
      </c>
      <c r="B9" s="5" t="inlineStr">
        <is>
          <t>Tape Measure 8m</t>
        </is>
      </c>
      <c r="C9" s="5" t="inlineStr">
        <is>
          <t>B-04</t>
        </is>
      </c>
      <c r="D9" s="6" t="n">
        <v>14</v>
      </c>
      <c r="E9" s="5" t="n">
        <v>120</v>
      </c>
      <c r="F9" s="5" t="n">
        <v>310</v>
      </c>
      <c r="G9" s="7">
        <f>IF(A9="","",D9*F9)</f>
        <v/>
      </c>
      <c r="H9" s="7">
        <f>IF(A9="","",D9*E9)</f>
        <v/>
      </c>
      <c r="I9" s="8">
        <f>IF(A9="","",IF(COUNTIF($A:$A,A9)&gt;1,"DUPLICATE","OK"))</f>
        <v/>
      </c>
      <c r="J9" s="8">
        <f>IF(A9="","",RANK(G9,$G:$G)+COUNTIF($G$2:G9,G9)-1)</f>
        <v/>
      </c>
    </row>
    <row r="10">
      <c r="A10" s="5" t="inlineStr">
        <is>
          <t>SKU-1009</t>
        </is>
      </c>
      <c r="B10" s="5" t="inlineStr">
        <is>
          <t>Utility Knife Retractable</t>
        </is>
      </c>
      <c r="C10" s="5" t="inlineStr">
        <is>
          <t>B-05</t>
        </is>
      </c>
      <c r="D10" s="6" t="n">
        <v>11</v>
      </c>
      <c r="E10" s="5" t="n">
        <v>140</v>
      </c>
      <c r="F10" s="5" t="n">
        <v>350</v>
      </c>
      <c r="G10" s="7">
        <f>IF(A10="","",D10*F10)</f>
        <v/>
      </c>
      <c r="H10" s="7">
        <f>IF(A10="","",D10*E10)</f>
        <v/>
      </c>
      <c r="I10" s="8">
        <f>IF(A10="","",IF(COUNTIF($A:$A,A10)&gt;1,"DUPLICATE","OK"))</f>
        <v/>
      </c>
      <c r="J10" s="8">
        <f>IF(A10="","",RANK(G10,$G:$G)+COUNTIF($G$2:G10,G10)-1)</f>
        <v/>
      </c>
    </row>
    <row r="11">
      <c r="A11" s="5" t="inlineStr">
        <is>
          <t>SKU-1010</t>
        </is>
      </c>
      <c r="B11" s="5" t="inlineStr">
        <is>
          <t>Sanding Discs 50-Pack</t>
        </is>
      </c>
      <c r="C11" s="5" t="inlineStr">
        <is>
          <t>C-01</t>
        </is>
      </c>
      <c r="D11" s="6" t="n">
        <v>19</v>
      </c>
      <c r="E11" s="5" t="n">
        <v>60</v>
      </c>
      <c r="F11" s="5" t="n">
        <v>150</v>
      </c>
      <c r="G11" s="7">
        <f>IF(A11="","",D11*F11)</f>
        <v/>
      </c>
      <c r="H11" s="7">
        <f>IF(A11="","",D11*E11)</f>
        <v/>
      </c>
      <c r="I11" s="8">
        <f>IF(A11="","",IF(COUNTIF($A:$A,A11)&gt;1,"DUPLICATE","OK"))</f>
        <v/>
      </c>
      <c r="J11" s="8">
        <f>IF(A11="","",RANK(G11,$G:$G)+COUNTIF($G$2:G11,G11)-1)</f>
        <v/>
      </c>
    </row>
    <row r="12">
      <c r="A12" s="5" t="inlineStr">
        <is>
          <t>SKU-1011</t>
        </is>
      </c>
      <c r="B12" s="5" t="inlineStr">
        <is>
          <t>Wood Screws #8 Box 500</t>
        </is>
      </c>
      <c r="C12" s="5" t="inlineStr">
        <is>
          <t>C-02</t>
        </is>
      </c>
      <c r="D12" s="6" t="n">
        <v>8.5</v>
      </c>
      <c r="E12" s="5" t="n">
        <v>90</v>
      </c>
      <c r="F12" s="5" t="n">
        <v>240</v>
      </c>
      <c r="G12" s="7">
        <f>IF(A12="","",D12*F12)</f>
        <v/>
      </c>
      <c r="H12" s="7">
        <f>IF(A12="","",D12*E12)</f>
        <v/>
      </c>
      <c r="I12" s="8">
        <f>IF(A12="","",IF(COUNTIF($A:$A,A12)&gt;1,"DUPLICATE","OK"))</f>
        <v/>
      </c>
      <c r="J12" s="8">
        <f>IF(A12="","",RANK(G12,$G:$G)+COUNTIF($G$2:G12,G12)-1)</f>
        <v/>
      </c>
    </row>
    <row r="13">
      <c r="A13" s="5" t="inlineStr">
        <is>
          <t>SKU-1012</t>
        </is>
      </c>
      <c r="B13" s="5" t="inlineStr">
        <is>
          <t>Paint Roller Kit 9 in</t>
        </is>
      </c>
      <c r="C13" s="5" t="inlineStr">
        <is>
          <t>C-03</t>
        </is>
      </c>
      <c r="D13" s="6" t="n">
        <v>12</v>
      </c>
      <c r="E13" s="5" t="n">
        <v>45</v>
      </c>
      <c r="F13" s="5" t="n">
        <v>130</v>
      </c>
      <c r="G13" s="7">
        <f>IF(A13="","",D13*F13)</f>
        <v/>
      </c>
      <c r="H13" s="7">
        <f>IF(A13="","",D13*E13)</f>
        <v/>
      </c>
      <c r="I13" s="8">
        <f>IF(A13="","",IF(COUNTIF($A:$A,A13)&gt;1,"DUPLICATE","OK"))</f>
        <v/>
      </c>
      <c r="J13" s="8">
        <f>IF(A13="","",RANK(G13,$G:$G)+COUNTIF($G$2:G13,G13)-1)</f>
        <v/>
      </c>
    </row>
    <row r="14">
      <c r="A14" s="5" t="inlineStr">
        <is>
          <t>SKU-1013</t>
        </is>
      </c>
      <c r="B14" s="5" t="inlineStr">
        <is>
          <t>Masking Tape 6-Roll</t>
        </is>
      </c>
      <c r="C14" s="5" t="inlineStr">
        <is>
          <t>C-04</t>
        </is>
      </c>
      <c r="D14" s="6" t="n">
        <v>7</v>
      </c>
      <c r="E14" s="5" t="n">
        <v>80</v>
      </c>
      <c r="F14" s="5" t="n">
        <v>190</v>
      </c>
      <c r="G14" s="7">
        <f>IF(A14="","",D14*F14)</f>
        <v/>
      </c>
      <c r="H14" s="7">
        <f>IF(A14="","",D14*E14)</f>
        <v/>
      </c>
      <c r="I14" s="8">
        <f>IF(A14="","",IF(COUNTIF($A:$A,A14)&gt;1,"DUPLICATE","OK"))</f>
        <v/>
      </c>
      <c r="J14" s="8">
        <f>IF(A14="","",RANK(G14,$G:$G)+COUNTIF($G$2:G14,G14)-1)</f>
        <v/>
      </c>
    </row>
    <row r="15">
      <c r="A15" s="5" t="inlineStr">
        <is>
          <t>SKU-1014</t>
        </is>
      </c>
      <c r="B15" s="5" t="inlineStr">
        <is>
          <t>Stud Finder Basic</t>
        </is>
      </c>
      <c r="C15" s="5" t="inlineStr">
        <is>
          <t>C-05</t>
        </is>
      </c>
      <c r="D15" s="6" t="n">
        <v>21</v>
      </c>
      <c r="E15" s="5" t="n">
        <v>25</v>
      </c>
      <c r="F15" s="5" t="n">
        <v>48</v>
      </c>
      <c r="G15" s="7">
        <f>IF(A15="","",D15*F15)</f>
        <v/>
      </c>
      <c r="H15" s="7">
        <f>IF(A15="","",D15*E15)</f>
        <v/>
      </c>
      <c r="I15" s="8">
        <f>IF(A15="","",IF(COUNTIF($A:$A,A15)&gt;1,"DUPLICATE","OK"))</f>
        <v/>
      </c>
      <c r="J15" s="8">
        <f>IF(A15="","",RANK(G15,$G:$G)+COUNTIF($G$2:G15,G15)-1)</f>
        <v/>
      </c>
    </row>
    <row r="16">
      <c r="A16" s="5" t="inlineStr">
        <is>
          <t>SKU-1015</t>
        </is>
      </c>
      <c r="B16" s="5" t="inlineStr">
        <is>
          <t>Caulk Gun Standard</t>
        </is>
      </c>
      <c r="C16" s="5" t="inlineStr">
        <is>
          <t>C-06</t>
        </is>
      </c>
      <c r="D16" s="6" t="n">
        <v>6.5</v>
      </c>
      <c r="E16" s="5" t="n">
        <v>35</v>
      </c>
      <c r="F16" s="5" t="n">
        <v>95</v>
      </c>
      <c r="G16" s="7">
        <f>IF(A16="","",D16*F16)</f>
        <v/>
      </c>
      <c r="H16" s="7">
        <f>IF(A16="","",D16*E16)</f>
        <v/>
      </c>
      <c r="I16" s="8">
        <f>IF(A16="","",IF(COUNTIF($A:$A,A16)&gt;1,"DUPLICATE","OK"))</f>
        <v/>
      </c>
      <c r="J16" s="8">
        <f>IF(A16="","",RANK(G16,$G:$G)+COUNTIF($G$2:G16,G16)-1)</f>
        <v/>
      </c>
    </row>
    <row r="17">
      <c r="A17" s="5" t="inlineStr">
        <is>
          <t>SKU-1016</t>
        </is>
      </c>
      <c r="B17" s="5" t="inlineStr">
        <is>
          <t>Drop Cloth Canvas 9x12</t>
        </is>
      </c>
      <c r="C17" s="5" t="inlineStr">
        <is>
          <t>C-07</t>
        </is>
      </c>
      <c r="D17" s="6" t="n">
        <v>15</v>
      </c>
      <c r="E17" s="5" t="n">
        <v>20</v>
      </c>
      <c r="F17" s="5" t="n">
        <v>40</v>
      </c>
      <c r="G17" s="7">
        <f>IF(A17="","",D17*F17)</f>
        <v/>
      </c>
      <c r="H17" s="7">
        <f>IF(A17="","",D17*E17)</f>
        <v/>
      </c>
      <c r="I17" s="8">
        <f>IF(A17="","",IF(COUNTIF($A:$A,A17)&gt;1,"DUPLICATE","OK"))</f>
        <v/>
      </c>
      <c r="J17" s="8">
        <f>IF(A17="","",RANK(G17,$G:$G)+COUNTIF($G$2:G17,G17)-1)</f>
        <v/>
      </c>
    </row>
    <row r="18">
      <c r="A18" s="5" t="inlineStr">
        <is>
          <t>SKU-1017</t>
        </is>
      </c>
      <c r="B18" s="5" t="inlineStr">
        <is>
          <t>Extension Cord 15m</t>
        </is>
      </c>
      <c r="C18" s="5" t="inlineStr">
        <is>
          <t>C-08</t>
        </is>
      </c>
      <c r="D18" s="6" t="n">
        <v>26</v>
      </c>
      <c r="E18" s="5" t="n">
        <v>15</v>
      </c>
      <c r="F18" s="5" t="n">
        <v>22</v>
      </c>
      <c r="G18" s="7">
        <f>IF(A18="","",D18*F18)</f>
        <v/>
      </c>
      <c r="H18" s="7">
        <f>IF(A18="","",D18*E18)</f>
        <v/>
      </c>
      <c r="I18" s="8">
        <f>IF(A18="","",IF(COUNTIF($A:$A,A18)&gt;1,"DUPLICATE","OK"))</f>
        <v/>
      </c>
      <c r="J18" s="8">
        <f>IF(A18="","",RANK(G18,$G:$G)+COUNTIF($G$2:G18,G18)-1)</f>
        <v/>
      </c>
    </row>
    <row r="19">
      <c r="A19" s="5" t="inlineStr">
        <is>
          <t>SKU-1018</t>
        </is>
      </c>
      <c r="B19" s="5" t="inlineStr">
        <is>
          <t>Tool Bag 16 in</t>
        </is>
      </c>
      <c r="C19" s="5" t="inlineStr">
        <is>
          <t>C-09</t>
        </is>
      </c>
      <c r="D19" s="6" t="n">
        <v>18</v>
      </c>
      <c r="E19" s="5" t="n">
        <v>10</v>
      </c>
      <c r="F19" s="5" t="n">
        <v>18</v>
      </c>
      <c r="G19" s="7">
        <f>IF(A19="","",D19*F19)</f>
        <v/>
      </c>
      <c r="H19" s="7">
        <f>IF(A19="","",D19*E19)</f>
        <v/>
      </c>
      <c r="I19" s="8">
        <f>IF(A19="","",IF(COUNTIF($A:$A,A19)&gt;1,"DUPLICATE","OK"))</f>
        <v/>
      </c>
      <c r="J19" s="8">
        <f>IF(A19="","",RANK(G19,$G:$G)+COUNTIF($G$2:G19,G19)-1)</f>
        <v/>
      </c>
    </row>
    <row r="20">
      <c r="A20" s="5" t="inlineStr">
        <is>
          <t>SKU-1019</t>
        </is>
      </c>
      <c r="B20" s="5" t="inlineStr">
        <is>
          <t>Hex Key Set (discontinued)</t>
        </is>
      </c>
      <c r="C20" s="5" t="inlineStr">
        <is>
          <t>C-10</t>
        </is>
      </c>
      <c r="D20" s="6" t="n">
        <v>5</v>
      </c>
      <c r="E20" s="5" t="n">
        <v>0</v>
      </c>
      <c r="F20" s="5" t="n">
        <v>6</v>
      </c>
      <c r="G20" s="7">
        <f>IF(A20="","",D20*F20)</f>
        <v/>
      </c>
      <c r="H20" s="7">
        <f>IF(A20="","",D20*E20)</f>
        <v/>
      </c>
      <c r="I20" s="8">
        <f>IF(A20="","",IF(COUNTIF($A:$A,A20)&gt;1,"DUPLICATE","OK"))</f>
        <v/>
      </c>
      <c r="J20" s="8">
        <f>IF(A20="","",RANK(G20,$G:$G)+COUNTIF($G$2:G20,G20)-1)</f>
        <v/>
      </c>
    </row>
    <row r="21">
      <c r="A21" s="5" t="inlineStr">
        <is>
          <t>SKU-1020</t>
        </is>
      </c>
      <c r="B21" s="5" t="inlineStr">
        <is>
          <t>Knee Pads Gel</t>
        </is>
      </c>
      <c r="C21" s="5" t="inlineStr">
        <is>
          <t>C-11</t>
        </is>
      </c>
      <c r="D21" s="6" t="n">
        <v>13</v>
      </c>
      <c r="E21" s="5" t="n">
        <v>0</v>
      </c>
      <c r="F21" s="5" t="n">
        <v>12</v>
      </c>
      <c r="G21" s="7">
        <f>IF(A21="","",D21*F21)</f>
        <v/>
      </c>
      <c r="H21" s="7">
        <f>IF(A21="","",D21*E21)</f>
        <v/>
      </c>
      <c r="I21" s="8">
        <f>IF(A21="","",IF(COUNTIF($A:$A,A21)&gt;1,"DUPLICATE","OK"))</f>
        <v/>
      </c>
      <c r="J21" s="8">
        <f>IF(A21="","",RANK(G21,$G:$G)+COUNTIF($G$2:G21,G21)-1)</f>
        <v/>
      </c>
    </row>
    <row r="22">
      <c r="A22" s="5" t="n"/>
      <c r="B22" s="5" t="n"/>
      <c r="C22" s="5" t="n"/>
      <c r="D22" s="6" t="n"/>
      <c r="E22" s="5" t="n"/>
      <c r="F22" s="5" t="n"/>
    </row>
    <row r="23">
      <c r="A23" s="5" t="n"/>
      <c r="B23" s="5" t="n"/>
      <c r="C23" s="5" t="n"/>
      <c r="D23" s="6" t="n"/>
      <c r="E23" s="5" t="n"/>
      <c r="F23" s="5" t="n"/>
    </row>
    <row r="24">
      <c r="A24" s="5" t="n"/>
      <c r="B24" s="5" t="n"/>
      <c r="C24" s="5" t="n"/>
      <c r="D24" s="6" t="n"/>
      <c r="E24" s="5" t="n"/>
      <c r="F24" s="5" t="n"/>
    </row>
    <row r="25">
      <c r="A25" s="5" t="n"/>
      <c r="B25" s="5" t="n"/>
      <c r="C25" s="5" t="n"/>
      <c r="D25" s="6" t="n"/>
      <c r="E25" s="5" t="n"/>
      <c r="F25" s="5" t="n"/>
    </row>
    <row r="26">
      <c r="A26" s="5" t="n"/>
      <c r="B26" s="5" t="n"/>
      <c r="C26" s="5" t="n"/>
      <c r="D26" s="6" t="n"/>
      <c r="E26" s="5" t="n"/>
      <c r="F26" s="5" t="n"/>
    </row>
    <row r="27">
      <c r="A27" s="5" t="n"/>
      <c r="B27" s="5" t="n"/>
      <c r="C27" s="5" t="n"/>
      <c r="D27" s="6" t="n"/>
      <c r="E27" s="5" t="n"/>
      <c r="F27" s="5" t="n"/>
    </row>
    <row r="28">
      <c r="A28" s="5" t="n"/>
      <c r="B28" s="5" t="n"/>
      <c r="C28" s="5" t="n"/>
      <c r="D28" s="6" t="n"/>
      <c r="E28" s="5" t="n"/>
      <c r="F28" s="5" t="n"/>
    </row>
    <row r="29">
      <c r="A29" s="5" t="n"/>
      <c r="B29" s="5" t="n"/>
      <c r="C29" s="5" t="n"/>
      <c r="D29" s="6" t="n"/>
      <c r="E29" s="5" t="n"/>
      <c r="F29" s="5" t="n"/>
    </row>
    <row r="30">
      <c r="A30" s="5" t="n"/>
      <c r="B30" s="5" t="n"/>
      <c r="C30" s="5" t="n"/>
      <c r="D30" s="6" t="n"/>
      <c r="E30" s="5" t="n"/>
      <c r="F30" s="5" t="n"/>
    </row>
    <row r="31">
      <c r="A31" s="5" t="n"/>
      <c r="B31" s="5" t="n"/>
      <c r="C31" s="5" t="n"/>
      <c r="D31" s="6" t="n"/>
      <c r="E31" s="5" t="n"/>
      <c r="F31" s="5" t="n"/>
    </row>
    <row r="32">
      <c r="A32" s="5" t="n"/>
      <c r="B32" s="5" t="n"/>
      <c r="C32" s="5" t="n"/>
      <c r="D32" s="6" t="n"/>
      <c r="E32" s="5" t="n"/>
      <c r="F32" s="5" t="n"/>
    </row>
    <row r="33">
      <c r="A33" s="5" t="n"/>
      <c r="B33" s="5" t="n"/>
      <c r="C33" s="5" t="n"/>
      <c r="D33" s="6" t="n"/>
      <c r="E33" s="5" t="n"/>
      <c r="F33" s="5" t="n"/>
    </row>
    <row r="34">
      <c r="A34" s="5" t="n"/>
      <c r="B34" s="5" t="n"/>
      <c r="C34" s="5" t="n"/>
      <c r="D34" s="6" t="n"/>
      <c r="E34" s="5" t="n"/>
      <c r="F34" s="5" t="n"/>
    </row>
    <row r="35">
      <c r="A35" s="5" t="n"/>
      <c r="B35" s="5" t="n"/>
      <c r="C35" s="5" t="n"/>
      <c r="D35" s="6" t="n"/>
      <c r="E35" s="5" t="n"/>
      <c r="F35" s="5" t="n"/>
    </row>
    <row r="36">
      <c r="A36" s="5" t="n"/>
      <c r="B36" s="5" t="n"/>
      <c r="C36" s="5" t="n"/>
      <c r="D36" s="6" t="n"/>
      <c r="E36" s="5" t="n"/>
      <c r="F36" s="5" t="n"/>
    </row>
    <row r="37">
      <c r="A37" s="5" t="n"/>
      <c r="B37" s="5" t="n"/>
      <c r="C37" s="5" t="n"/>
      <c r="D37" s="6" t="n"/>
      <c r="E37" s="5" t="n"/>
      <c r="F37" s="5" t="n"/>
    </row>
    <row r="38">
      <c r="A38" s="5" t="n"/>
      <c r="B38" s="5" t="n"/>
      <c r="C38" s="5" t="n"/>
      <c r="D38" s="6" t="n"/>
      <c r="E38" s="5" t="n"/>
      <c r="F38" s="5" t="n"/>
    </row>
    <row r="39">
      <c r="A39" s="5" t="n"/>
      <c r="B39" s="5" t="n"/>
      <c r="C39" s="5" t="n"/>
      <c r="D39" s="6" t="n"/>
      <c r="E39" s="5" t="n"/>
      <c r="F39" s="5" t="n"/>
    </row>
    <row r="40">
      <c r="A40" s="5" t="n"/>
      <c r="B40" s="5" t="n"/>
      <c r="C40" s="5" t="n"/>
      <c r="D40" s="6" t="n"/>
      <c r="E40" s="5" t="n"/>
      <c r="F40" s="5" t="n"/>
    </row>
    <row r="41">
      <c r="A41" s="5" t="n"/>
      <c r="B41" s="5" t="n"/>
      <c r="C41" s="5" t="n"/>
      <c r="D41" s="6" t="n"/>
      <c r="E41" s="5" t="n"/>
      <c r="F41" s="5" t="n"/>
    </row>
    <row r="42">
      <c r="A42" s="5" t="n"/>
      <c r="B42" s="5" t="n"/>
      <c r="C42" s="5" t="n"/>
      <c r="D42" s="6" t="n"/>
      <c r="E42" s="5" t="n"/>
      <c r="F42" s="5" t="n"/>
    </row>
    <row r="43">
      <c r="A43" s="5" t="n"/>
      <c r="B43" s="5" t="n"/>
      <c r="C43" s="5" t="n"/>
      <c r="D43" s="6" t="n"/>
      <c r="E43" s="5" t="n"/>
      <c r="F43" s="5" t="n"/>
    </row>
    <row r="44">
      <c r="A44" s="5" t="n"/>
      <c r="B44" s="5" t="n"/>
      <c r="C44" s="5" t="n"/>
      <c r="D44" s="6" t="n"/>
      <c r="E44" s="5" t="n"/>
      <c r="F44" s="5" t="n"/>
    </row>
    <row r="45">
      <c r="A45" s="5" t="n"/>
      <c r="B45" s="5" t="n"/>
      <c r="C45" s="5" t="n"/>
      <c r="D45" s="6" t="n"/>
      <c r="E45" s="5" t="n"/>
      <c r="F45" s="5" t="n"/>
    </row>
    <row r="46">
      <c r="A46" s="5" t="n"/>
      <c r="B46" s="5" t="n"/>
      <c r="C46" s="5" t="n"/>
      <c r="D46" s="6" t="n"/>
      <c r="E46" s="5" t="n"/>
      <c r="F46" s="5" t="n"/>
    </row>
    <row r="47">
      <c r="A47" s="5" t="n"/>
      <c r="B47" s="5" t="n"/>
      <c r="C47" s="5" t="n"/>
      <c r="D47" s="6" t="n"/>
      <c r="E47" s="5" t="n"/>
      <c r="F47" s="5" t="n"/>
    </row>
    <row r="48">
      <c r="A48" s="5" t="n"/>
      <c r="B48" s="5" t="n"/>
      <c r="C48" s="5" t="n"/>
      <c r="D48" s="6" t="n"/>
      <c r="E48" s="5" t="n"/>
      <c r="F48" s="5" t="n"/>
    </row>
    <row r="49">
      <c r="A49" s="5" t="n"/>
      <c r="B49" s="5" t="n"/>
      <c r="C49" s="5" t="n"/>
      <c r="D49" s="6" t="n"/>
      <c r="E49" s="5" t="n"/>
      <c r="F49" s="5" t="n"/>
    </row>
    <row r="50">
      <c r="A50" s="5" t="n"/>
      <c r="B50" s="5" t="n"/>
      <c r="C50" s="5" t="n"/>
      <c r="D50" s="6" t="n"/>
      <c r="E50" s="5" t="n"/>
      <c r="F50" s="5" t="n"/>
    </row>
    <row r="51">
      <c r="A51" s="5" t="n"/>
      <c r="B51" s="5" t="n"/>
      <c r="C51" s="5" t="n"/>
      <c r="D51" s="6" t="n"/>
      <c r="E51" s="5" t="n"/>
      <c r="F51" s="5" t="n"/>
    </row>
    <row r="52">
      <c r="A52" s="5" t="n"/>
      <c r="B52" s="5" t="n"/>
      <c r="C52" s="5" t="n"/>
      <c r="D52" s="6" t="n"/>
      <c r="E52" s="5" t="n"/>
      <c r="F52" s="5" t="n"/>
    </row>
    <row r="53">
      <c r="A53" s="5" t="n"/>
      <c r="B53" s="5" t="n"/>
      <c r="C53" s="5" t="n"/>
      <c r="D53" s="6" t="n"/>
      <c r="E53" s="5" t="n"/>
      <c r="F53" s="5" t="n"/>
    </row>
    <row r="54">
      <c r="A54" s="5" t="n"/>
      <c r="B54" s="5" t="n"/>
      <c r="C54" s="5" t="n"/>
      <c r="D54" s="6" t="n"/>
      <c r="E54" s="5" t="n"/>
      <c r="F54" s="5" t="n"/>
    </row>
    <row r="55">
      <c r="A55" s="5" t="n"/>
      <c r="B55" s="5" t="n"/>
      <c r="C55" s="5" t="n"/>
      <c r="D55" s="6" t="n"/>
      <c r="E55" s="5" t="n"/>
      <c r="F55" s="5" t="n"/>
    </row>
    <row r="56">
      <c r="A56" s="5" t="n"/>
      <c r="B56" s="5" t="n"/>
      <c r="C56" s="5" t="n"/>
      <c r="D56" s="6" t="n"/>
      <c r="E56" s="5" t="n"/>
      <c r="F56" s="5" t="n"/>
    </row>
    <row r="57">
      <c r="A57" s="5" t="n"/>
      <c r="B57" s="5" t="n"/>
      <c r="C57" s="5" t="n"/>
      <c r="D57" s="6" t="n"/>
      <c r="E57" s="5" t="n"/>
      <c r="F57" s="5" t="n"/>
    </row>
    <row r="58">
      <c r="A58" s="5" t="n"/>
      <c r="B58" s="5" t="n"/>
      <c r="C58" s="5" t="n"/>
      <c r="D58" s="6" t="n"/>
      <c r="E58" s="5" t="n"/>
      <c r="F58" s="5" t="n"/>
    </row>
    <row r="59">
      <c r="A59" s="5" t="n"/>
      <c r="B59" s="5" t="n"/>
      <c r="C59" s="5" t="n"/>
      <c r="D59" s="6" t="n"/>
      <c r="E59" s="5" t="n"/>
      <c r="F59" s="5" t="n"/>
    </row>
    <row r="60">
      <c r="A60" s="5" t="n"/>
      <c r="B60" s="5" t="n"/>
      <c r="C60" s="5" t="n"/>
      <c r="D60" s="6" t="n"/>
      <c r="E60" s="5" t="n"/>
      <c r="F60" s="5" t="n"/>
    </row>
    <row r="61">
      <c r="A61" s="5" t="n"/>
      <c r="B61" s="5" t="n"/>
      <c r="C61" s="5" t="n"/>
      <c r="D61" s="6" t="n"/>
      <c r="E61" s="5" t="n"/>
      <c r="F61" s="5" t="n"/>
    </row>
    <row r="62">
      <c r="A62" s="5" t="n"/>
      <c r="B62" s="5" t="n"/>
      <c r="C62" s="5" t="n"/>
      <c r="D62" s="6" t="n"/>
      <c r="E62" s="5" t="n"/>
      <c r="F62" s="5" t="n"/>
    </row>
    <row r="63">
      <c r="A63" s="5" t="n"/>
      <c r="B63" s="5" t="n"/>
      <c r="C63" s="5" t="n"/>
      <c r="D63" s="6" t="n"/>
      <c r="E63" s="5" t="n"/>
      <c r="F63" s="5" t="n"/>
    </row>
    <row r="64">
      <c r="A64" s="5" t="n"/>
      <c r="B64" s="5" t="n"/>
      <c r="C64" s="5" t="n"/>
      <c r="D64" s="6" t="n"/>
      <c r="E64" s="5" t="n"/>
      <c r="F64" s="5" t="n"/>
    </row>
    <row r="65">
      <c r="A65" s="5" t="n"/>
      <c r="B65" s="5" t="n"/>
      <c r="C65" s="5" t="n"/>
      <c r="D65" s="6" t="n"/>
      <c r="E65" s="5" t="n"/>
      <c r="F65" s="5" t="n"/>
    </row>
    <row r="66">
      <c r="A66" s="5" t="n"/>
      <c r="B66" s="5" t="n"/>
      <c r="C66" s="5" t="n"/>
      <c r="D66" s="6" t="n"/>
      <c r="E66" s="5" t="n"/>
      <c r="F66" s="5" t="n"/>
    </row>
    <row r="67">
      <c r="A67" s="5" t="n"/>
      <c r="B67" s="5" t="n"/>
      <c r="C67" s="5" t="n"/>
      <c r="D67" s="6" t="n"/>
      <c r="E67" s="5" t="n"/>
      <c r="F67" s="5" t="n"/>
    </row>
    <row r="68">
      <c r="A68" s="5" t="n"/>
      <c r="B68" s="5" t="n"/>
      <c r="C68" s="5" t="n"/>
      <c r="D68" s="6" t="n"/>
      <c r="E68" s="5" t="n"/>
      <c r="F68" s="5" t="n"/>
    </row>
    <row r="69">
      <c r="A69" s="5" t="n"/>
      <c r="B69" s="5" t="n"/>
      <c r="C69" s="5" t="n"/>
      <c r="D69" s="6" t="n"/>
      <c r="E69" s="5" t="n"/>
      <c r="F69" s="5" t="n"/>
    </row>
    <row r="70">
      <c r="A70" s="5" t="n"/>
      <c r="B70" s="5" t="n"/>
      <c r="C70" s="5" t="n"/>
      <c r="D70" s="6" t="n"/>
      <c r="E70" s="5" t="n"/>
      <c r="F70" s="5" t="n"/>
    </row>
    <row r="71">
      <c r="A71" s="5" t="n"/>
      <c r="B71" s="5" t="n"/>
      <c r="C71" s="5" t="n"/>
      <c r="D71" s="6" t="n"/>
      <c r="E71" s="5" t="n"/>
      <c r="F71" s="5" t="n"/>
    </row>
    <row r="72">
      <c r="A72" s="5" t="n"/>
      <c r="B72" s="5" t="n"/>
      <c r="C72" s="5" t="n"/>
      <c r="D72" s="6" t="n"/>
      <c r="E72" s="5" t="n"/>
      <c r="F72" s="5" t="n"/>
    </row>
    <row r="73">
      <c r="A73" s="5" t="n"/>
      <c r="B73" s="5" t="n"/>
      <c r="C73" s="5" t="n"/>
      <c r="D73" s="6" t="n"/>
      <c r="E73" s="5" t="n"/>
      <c r="F73" s="5" t="n"/>
    </row>
    <row r="74">
      <c r="A74" s="5" t="n"/>
      <c r="B74" s="5" t="n"/>
      <c r="C74" s="5" t="n"/>
      <c r="D74" s="6" t="n"/>
      <c r="E74" s="5" t="n"/>
      <c r="F74" s="5" t="n"/>
    </row>
    <row r="75">
      <c r="A75" s="5" t="n"/>
      <c r="B75" s="5" t="n"/>
      <c r="C75" s="5" t="n"/>
      <c r="D75" s="6" t="n"/>
      <c r="E75" s="5" t="n"/>
      <c r="F75" s="5" t="n"/>
    </row>
    <row r="76">
      <c r="A76" s="5" t="n"/>
      <c r="B76" s="5" t="n"/>
      <c r="C76" s="5" t="n"/>
      <c r="D76" s="6" t="n"/>
      <c r="E76" s="5" t="n"/>
      <c r="F76" s="5" t="n"/>
    </row>
    <row r="77">
      <c r="A77" s="5" t="n"/>
      <c r="B77" s="5" t="n"/>
      <c r="C77" s="5" t="n"/>
      <c r="D77" s="6" t="n"/>
      <c r="E77" s="5" t="n"/>
      <c r="F77" s="5" t="n"/>
    </row>
    <row r="78">
      <c r="A78" s="5" t="n"/>
      <c r="B78" s="5" t="n"/>
      <c r="C78" s="5" t="n"/>
      <c r="D78" s="6" t="n"/>
      <c r="E78" s="5" t="n"/>
      <c r="F78" s="5" t="n"/>
    </row>
    <row r="79">
      <c r="A79" s="5" t="n"/>
      <c r="B79" s="5" t="n"/>
      <c r="C79" s="5" t="n"/>
      <c r="D79" s="6" t="n"/>
      <c r="E79" s="5" t="n"/>
      <c r="F79" s="5" t="n"/>
    </row>
    <row r="80">
      <c r="A80" s="5" t="n"/>
      <c r="B80" s="5" t="n"/>
      <c r="C80" s="5" t="n"/>
      <c r="D80" s="6" t="n"/>
      <c r="E80" s="5" t="n"/>
      <c r="F80" s="5" t="n"/>
    </row>
    <row r="81">
      <c r="A81" s="5" t="n"/>
      <c r="B81" s="5" t="n"/>
      <c r="C81" s="5" t="n"/>
      <c r="D81" s="6" t="n"/>
      <c r="E81" s="5" t="n"/>
      <c r="F81" s="5" t="n"/>
    </row>
    <row r="82">
      <c r="A82" s="5" t="n"/>
      <c r="B82" s="5" t="n"/>
      <c r="C82" s="5" t="n"/>
      <c r="D82" s="6" t="n"/>
      <c r="E82" s="5" t="n"/>
      <c r="F82" s="5" t="n"/>
    </row>
    <row r="83">
      <c r="A83" s="5" t="n"/>
      <c r="B83" s="5" t="n"/>
      <c r="C83" s="5" t="n"/>
      <c r="D83" s="6" t="n"/>
      <c r="E83" s="5" t="n"/>
      <c r="F83" s="5" t="n"/>
    </row>
    <row r="84">
      <c r="A84" s="5" t="n"/>
      <c r="B84" s="5" t="n"/>
      <c r="C84" s="5" t="n"/>
      <c r="D84" s="6" t="n"/>
      <c r="E84" s="5" t="n"/>
      <c r="F84" s="5" t="n"/>
    </row>
    <row r="85">
      <c r="A85" s="5" t="n"/>
      <c r="B85" s="5" t="n"/>
      <c r="C85" s="5" t="n"/>
      <c r="D85" s="6" t="n"/>
      <c r="E85" s="5" t="n"/>
      <c r="F85" s="5" t="n"/>
    </row>
    <row r="86">
      <c r="A86" s="5" t="n"/>
      <c r="B86" s="5" t="n"/>
      <c r="C86" s="5" t="n"/>
      <c r="D86" s="6" t="n"/>
      <c r="E86" s="5" t="n"/>
      <c r="F86" s="5" t="n"/>
    </row>
    <row r="87">
      <c r="A87" s="5" t="n"/>
      <c r="B87" s="5" t="n"/>
      <c r="C87" s="5" t="n"/>
      <c r="D87" s="6" t="n"/>
      <c r="E87" s="5" t="n"/>
      <c r="F87" s="5" t="n"/>
    </row>
    <row r="88">
      <c r="A88" s="5" t="n"/>
      <c r="B88" s="5" t="n"/>
      <c r="C88" s="5" t="n"/>
      <c r="D88" s="6" t="n"/>
      <c r="E88" s="5" t="n"/>
      <c r="F88" s="5" t="n"/>
    </row>
    <row r="89">
      <c r="A89" s="5" t="n"/>
      <c r="B89" s="5" t="n"/>
      <c r="C89" s="5" t="n"/>
      <c r="D89" s="6" t="n"/>
      <c r="E89" s="5" t="n"/>
      <c r="F89" s="5" t="n"/>
    </row>
    <row r="90">
      <c r="A90" s="5" t="n"/>
      <c r="B90" s="5" t="n"/>
      <c r="C90" s="5" t="n"/>
      <c r="D90" s="6" t="n"/>
      <c r="E90" s="5" t="n"/>
      <c r="F90" s="5" t="n"/>
    </row>
    <row r="91">
      <c r="A91" s="5" t="n"/>
      <c r="B91" s="5" t="n"/>
      <c r="C91" s="5" t="n"/>
      <c r="D91" s="6" t="n"/>
      <c r="E91" s="5" t="n"/>
      <c r="F91" s="5" t="n"/>
    </row>
    <row r="92">
      <c r="A92" s="5" t="n"/>
      <c r="B92" s="5" t="n"/>
      <c r="C92" s="5" t="n"/>
      <c r="D92" s="6" t="n"/>
      <c r="E92" s="5" t="n"/>
      <c r="F92" s="5" t="n"/>
    </row>
    <row r="93">
      <c r="A93" s="5" t="n"/>
      <c r="B93" s="5" t="n"/>
      <c r="C93" s="5" t="n"/>
      <c r="D93" s="6" t="n"/>
      <c r="E93" s="5" t="n"/>
      <c r="F93" s="5" t="n"/>
    </row>
    <row r="94">
      <c r="A94" s="5" t="n"/>
      <c r="B94" s="5" t="n"/>
      <c r="C94" s="5" t="n"/>
      <c r="D94" s="6" t="n"/>
      <c r="E94" s="5" t="n"/>
      <c r="F94" s="5" t="n"/>
    </row>
    <row r="95">
      <c r="A95" s="5" t="n"/>
      <c r="B95" s="5" t="n"/>
      <c r="C95" s="5" t="n"/>
      <c r="D95" s="6" t="n"/>
      <c r="E95" s="5" t="n"/>
      <c r="F95" s="5" t="n"/>
    </row>
    <row r="96">
      <c r="A96" s="5" t="n"/>
      <c r="B96" s="5" t="n"/>
      <c r="C96" s="5" t="n"/>
      <c r="D96" s="6" t="n"/>
      <c r="E96" s="5" t="n"/>
      <c r="F96" s="5" t="n"/>
    </row>
    <row r="97">
      <c r="A97" s="5" t="n"/>
      <c r="B97" s="5" t="n"/>
      <c r="C97" s="5" t="n"/>
      <c r="D97" s="6" t="n"/>
      <c r="E97" s="5" t="n"/>
      <c r="F97" s="5" t="n"/>
    </row>
    <row r="98">
      <c r="A98" s="5" t="n"/>
      <c r="B98" s="5" t="n"/>
      <c r="C98" s="5" t="n"/>
      <c r="D98" s="6" t="n"/>
      <c r="E98" s="5" t="n"/>
      <c r="F98" s="5" t="n"/>
    </row>
    <row r="99">
      <c r="A99" s="5" t="n"/>
      <c r="B99" s="5" t="n"/>
      <c r="C99" s="5" t="n"/>
      <c r="D99" s="6" t="n"/>
      <c r="E99" s="5" t="n"/>
      <c r="F99" s="5" t="n"/>
    </row>
    <row r="100">
      <c r="A100" s="5" t="n"/>
      <c r="B100" s="5" t="n"/>
      <c r="C100" s="5" t="n"/>
      <c r="D100" s="6" t="n"/>
      <c r="E100" s="5" t="n"/>
      <c r="F100" s="5" t="n"/>
    </row>
    <row r="101">
      <c r="A101" s="5" t="n"/>
      <c r="B101" s="5" t="n"/>
      <c r="C101" s="5" t="n"/>
      <c r="D101" s="6" t="n"/>
      <c r="E101" s="5" t="n"/>
      <c r="F101" s="5" t="n"/>
    </row>
    <row r="102">
      <c r="A102" s="5" t="n"/>
      <c r="B102" s="5" t="n"/>
      <c r="C102" s="5" t="n"/>
      <c r="D102" s="6" t="n"/>
      <c r="E102" s="5" t="n"/>
      <c r="F102" s="5" t="n"/>
    </row>
    <row r="103">
      <c r="A103" s="5" t="n"/>
      <c r="B103" s="5" t="n"/>
      <c r="C103" s="5" t="n"/>
      <c r="D103" s="6" t="n"/>
      <c r="E103" s="5" t="n"/>
      <c r="F103" s="5" t="n"/>
    </row>
    <row r="104">
      <c r="A104" s="5" t="n"/>
      <c r="B104" s="5" t="n"/>
      <c r="C104" s="5" t="n"/>
      <c r="D104" s="6" t="n"/>
      <c r="E104" s="5" t="n"/>
      <c r="F104" s="5" t="n"/>
    </row>
    <row r="105">
      <c r="A105" s="5" t="n"/>
      <c r="B105" s="5" t="n"/>
      <c r="C105" s="5" t="n"/>
      <c r="D105" s="6" t="n"/>
      <c r="E105" s="5" t="n"/>
      <c r="F105" s="5" t="n"/>
    </row>
    <row r="106">
      <c r="A106" s="5" t="n"/>
      <c r="B106" s="5" t="n"/>
      <c r="C106" s="5" t="n"/>
      <c r="D106" s="6" t="n"/>
      <c r="E106" s="5" t="n"/>
      <c r="F106" s="5" t="n"/>
    </row>
    <row r="107">
      <c r="A107" s="5" t="n"/>
      <c r="B107" s="5" t="n"/>
      <c r="C107" s="5" t="n"/>
      <c r="D107" s="6" t="n"/>
      <c r="E107" s="5" t="n"/>
      <c r="F107" s="5" t="n"/>
    </row>
    <row r="108">
      <c r="A108" s="5" t="n"/>
      <c r="B108" s="5" t="n"/>
      <c r="C108" s="5" t="n"/>
      <c r="D108" s="6" t="n"/>
      <c r="E108" s="5" t="n"/>
      <c r="F108" s="5" t="n"/>
    </row>
    <row r="109">
      <c r="A109" s="5" t="n"/>
      <c r="B109" s="5" t="n"/>
      <c r="C109" s="5" t="n"/>
      <c r="D109" s="6" t="n"/>
      <c r="E109" s="5" t="n"/>
      <c r="F109" s="5" t="n"/>
    </row>
    <row r="110">
      <c r="A110" s="5" t="n"/>
      <c r="B110" s="5" t="n"/>
      <c r="C110" s="5" t="n"/>
      <c r="D110" s="6" t="n"/>
      <c r="E110" s="5" t="n"/>
      <c r="F110" s="5" t="n"/>
    </row>
    <row r="111">
      <c r="A111" s="5" t="n"/>
      <c r="B111" s="5" t="n"/>
      <c r="C111" s="5" t="n"/>
      <c r="D111" s="6" t="n"/>
      <c r="E111" s="5" t="n"/>
      <c r="F111" s="5" t="n"/>
    </row>
    <row r="112">
      <c r="A112" s="5" t="n"/>
      <c r="B112" s="5" t="n"/>
      <c r="C112" s="5" t="n"/>
      <c r="D112" s="6" t="n"/>
      <c r="E112" s="5" t="n"/>
      <c r="F112" s="5" t="n"/>
    </row>
    <row r="113">
      <c r="A113" s="5" t="n"/>
      <c r="B113" s="5" t="n"/>
      <c r="C113" s="5" t="n"/>
      <c r="D113" s="6" t="n"/>
      <c r="E113" s="5" t="n"/>
      <c r="F113" s="5" t="n"/>
    </row>
    <row r="114">
      <c r="A114" s="5" t="n"/>
      <c r="B114" s="5" t="n"/>
      <c r="C114" s="5" t="n"/>
      <c r="D114" s="6" t="n"/>
      <c r="E114" s="5" t="n"/>
      <c r="F114" s="5" t="n"/>
    </row>
    <row r="115">
      <c r="A115" s="5" t="n"/>
      <c r="B115" s="5" t="n"/>
      <c r="C115" s="5" t="n"/>
      <c r="D115" s="6" t="n"/>
      <c r="E115" s="5" t="n"/>
      <c r="F115" s="5" t="n"/>
    </row>
    <row r="116">
      <c r="A116" s="5" t="n"/>
      <c r="B116" s="5" t="n"/>
      <c r="C116" s="5" t="n"/>
      <c r="D116" s="6" t="n"/>
      <c r="E116" s="5" t="n"/>
      <c r="F116" s="5" t="n"/>
    </row>
    <row r="117">
      <c r="A117" s="5" t="n"/>
      <c r="B117" s="5" t="n"/>
      <c r="C117" s="5" t="n"/>
      <c r="D117" s="6" t="n"/>
      <c r="E117" s="5" t="n"/>
      <c r="F117" s="5" t="n"/>
    </row>
    <row r="118">
      <c r="A118" s="5" t="n"/>
      <c r="B118" s="5" t="n"/>
      <c r="C118" s="5" t="n"/>
      <c r="D118" s="6" t="n"/>
      <c r="E118" s="5" t="n"/>
      <c r="F118" s="5" t="n"/>
    </row>
    <row r="119">
      <c r="A119" s="5" t="n"/>
      <c r="B119" s="5" t="n"/>
      <c r="C119" s="5" t="n"/>
      <c r="D119" s="6" t="n"/>
      <c r="E119" s="5" t="n"/>
      <c r="F119" s="5" t="n"/>
    </row>
    <row r="120">
      <c r="A120" s="5" t="n"/>
      <c r="B120" s="5" t="n"/>
      <c r="C120" s="5" t="n"/>
      <c r="D120" s="6" t="n"/>
      <c r="E120" s="5" t="n"/>
      <c r="F120" s="5" t="n"/>
    </row>
    <row r="121">
      <c r="A121" s="5" t="n"/>
      <c r="B121" s="5" t="n"/>
      <c r="C121" s="5" t="n"/>
      <c r="D121" s="6" t="n"/>
      <c r="E121" s="5" t="n"/>
      <c r="F121" s="5" t="n"/>
    </row>
    <row r="122">
      <c r="A122" s="5" t="n"/>
      <c r="B122" s="5" t="n"/>
      <c r="C122" s="5" t="n"/>
      <c r="D122" s="6" t="n"/>
      <c r="E122" s="5" t="n"/>
      <c r="F122" s="5" t="n"/>
    </row>
    <row r="123">
      <c r="A123" s="5" t="n"/>
      <c r="B123" s="5" t="n"/>
      <c r="C123" s="5" t="n"/>
      <c r="D123" s="6" t="n"/>
      <c r="E123" s="5" t="n"/>
      <c r="F123" s="5" t="n"/>
    </row>
    <row r="124">
      <c r="A124" s="5" t="n"/>
      <c r="B124" s="5" t="n"/>
      <c r="C124" s="5" t="n"/>
      <c r="D124" s="6" t="n"/>
      <c r="E124" s="5" t="n"/>
      <c r="F124" s="5" t="n"/>
    </row>
    <row r="125">
      <c r="A125" s="5" t="n"/>
      <c r="B125" s="5" t="n"/>
      <c r="C125" s="5" t="n"/>
      <c r="D125" s="6" t="n"/>
      <c r="E125" s="5" t="n"/>
      <c r="F125" s="5" t="n"/>
    </row>
    <row r="126">
      <c r="A126" s="5" t="n"/>
      <c r="B126" s="5" t="n"/>
      <c r="C126" s="5" t="n"/>
      <c r="D126" s="6" t="n"/>
      <c r="E126" s="5" t="n"/>
      <c r="F126" s="5" t="n"/>
    </row>
    <row r="127">
      <c r="A127" s="5" t="n"/>
      <c r="B127" s="5" t="n"/>
      <c r="C127" s="5" t="n"/>
      <c r="D127" s="6" t="n"/>
      <c r="E127" s="5" t="n"/>
      <c r="F127" s="5" t="n"/>
    </row>
    <row r="128">
      <c r="A128" s="5" t="n"/>
      <c r="B128" s="5" t="n"/>
      <c r="C128" s="5" t="n"/>
      <c r="D128" s="6" t="n"/>
      <c r="E128" s="5" t="n"/>
      <c r="F128" s="5" t="n"/>
    </row>
    <row r="129">
      <c r="A129" s="5" t="n"/>
      <c r="B129" s="5" t="n"/>
      <c r="C129" s="5" t="n"/>
      <c r="D129" s="6" t="n"/>
      <c r="E129" s="5" t="n"/>
      <c r="F129" s="5" t="n"/>
    </row>
    <row r="130">
      <c r="A130" s="5" t="n"/>
      <c r="B130" s="5" t="n"/>
      <c r="C130" s="5" t="n"/>
      <c r="D130" s="6" t="n"/>
      <c r="E130" s="5" t="n"/>
      <c r="F130" s="5" t="n"/>
    </row>
    <row r="131">
      <c r="A131" s="5" t="n"/>
      <c r="B131" s="5" t="n"/>
      <c r="C131" s="5" t="n"/>
      <c r="D131" s="6" t="n"/>
      <c r="E131" s="5" t="n"/>
      <c r="F131" s="5" t="n"/>
    </row>
    <row r="132">
      <c r="A132" s="5" t="n"/>
      <c r="B132" s="5" t="n"/>
      <c r="C132" s="5" t="n"/>
      <c r="D132" s="6" t="n"/>
      <c r="E132" s="5" t="n"/>
      <c r="F132" s="5" t="n"/>
    </row>
    <row r="133">
      <c r="A133" s="5" t="n"/>
      <c r="B133" s="5" t="n"/>
      <c r="C133" s="5" t="n"/>
      <c r="D133" s="6" t="n"/>
      <c r="E133" s="5" t="n"/>
      <c r="F133" s="5" t="n"/>
    </row>
    <row r="134">
      <c r="A134" s="5" t="n"/>
      <c r="B134" s="5" t="n"/>
      <c r="C134" s="5" t="n"/>
      <c r="D134" s="6" t="n"/>
      <c r="E134" s="5" t="n"/>
      <c r="F134" s="5" t="n"/>
    </row>
    <row r="135">
      <c r="A135" s="5" t="n"/>
      <c r="B135" s="5" t="n"/>
      <c r="C135" s="5" t="n"/>
      <c r="D135" s="6" t="n"/>
      <c r="E135" s="5" t="n"/>
      <c r="F135" s="5" t="n"/>
    </row>
    <row r="136">
      <c r="A136" s="5" t="n"/>
      <c r="B136" s="5" t="n"/>
      <c r="C136" s="5" t="n"/>
      <c r="D136" s="6" t="n"/>
      <c r="E136" s="5" t="n"/>
      <c r="F136" s="5" t="n"/>
    </row>
    <row r="137">
      <c r="A137" s="5" t="n"/>
      <c r="B137" s="5" t="n"/>
      <c r="C137" s="5" t="n"/>
      <c r="D137" s="6" t="n"/>
      <c r="E137" s="5" t="n"/>
      <c r="F137" s="5" t="n"/>
    </row>
    <row r="138">
      <c r="A138" s="5" t="n"/>
      <c r="B138" s="5" t="n"/>
      <c r="C138" s="5" t="n"/>
      <c r="D138" s="6" t="n"/>
      <c r="E138" s="5" t="n"/>
      <c r="F138" s="5" t="n"/>
    </row>
    <row r="139">
      <c r="A139" s="5" t="n"/>
      <c r="B139" s="5" t="n"/>
      <c r="C139" s="5" t="n"/>
      <c r="D139" s="6" t="n"/>
      <c r="E139" s="5" t="n"/>
      <c r="F139" s="5" t="n"/>
    </row>
    <row r="140">
      <c r="A140" s="5" t="n"/>
      <c r="B140" s="5" t="n"/>
      <c r="C140" s="5" t="n"/>
      <c r="D140" s="6" t="n"/>
      <c r="E140" s="5" t="n"/>
      <c r="F140" s="5" t="n"/>
    </row>
    <row r="141">
      <c r="A141" s="5" t="n"/>
      <c r="B141" s="5" t="n"/>
      <c r="C141" s="5" t="n"/>
      <c r="D141" s="6" t="n"/>
      <c r="E141" s="5" t="n"/>
      <c r="F141" s="5" t="n"/>
    </row>
    <row r="142">
      <c r="A142" s="5" t="n"/>
      <c r="B142" s="5" t="n"/>
      <c r="C142" s="5" t="n"/>
      <c r="D142" s="6" t="n"/>
      <c r="E142" s="5" t="n"/>
      <c r="F142" s="5" t="n"/>
    </row>
    <row r="143">
      <c r="A143" s="5" t="n"/>
      <c r="B143" s="5" t="n"/>
      <c r="C143" s="5" t="n"/>
      <c r="D143" s="6" t="n"/>
      <c r="E143" s="5" t="n"/>
      <c r="F143" s="5" t="n"/>
    </row>
    <row r="144">
      <c r="A144" s="5" t="n"/>
      <c r="B144" s="5" t="n"/>
      <c r="C144" s="5" t="n"/>
      <c r="D144" s="6" t="n"/>
      <c r="E144" s="5" t="n"/>
      <c r="F144" s="5" t="n"/>
    </row>
    <row r="145">
      <c r="A145" s="5" t="n"/>
      <c r="B145" s="5" t="n"/>
      <c r="C145" s="5" t="n"/>
      <c r="D145" s="6" t="n"/>
      <c r="E145" s="5" t="n"/>
      <c r="F145" s="5" t="n"/>
    </row>
    <row r="146">
      <c r="A146" s="5" t="n"/>
      <c r="B146" s="5" t="n"/>
      <c r="C146" s="5" t="n"/>
      <c r="D146" s="6" t="n"/>
      <c r="E146" s="5" t="n"/>
      <c r="F146" s="5" t="n"/>
    </row>
    <row r="147">
      <c r="A147" s="5" t="n"/>
      <c r="B147" s="5" t="n"/>
      <c r="C147" s="5" t="n"/>
      <c r="D147" s="6" t="n"/>
      <c r="E147" s="5" t="n"/>
      <c r="F147" s="5" t="n"/>
    </row>
    <row r="148">
      <c r="A148" s="5" t="n"/>
      <c r="B148" s="5" t="n"/>
      <c r="C148" s="5" t="n"/>
      <c r="D148" s="6" t="n"/>
      <c r="E148" s="5" t="n"/>
      <c r="F148" s="5" t="n"/>
    </row>
    <row r="149">
      <c r="A149" s="5" t="n"/>
      <c r="B149" s="5" t="n"/>
      <c r="C149" s="5" t="n"/>
      <c r="D149" s="6" t="n"/>
      <c r="E149" s="5" t="n"/>
      <c r="F149" s="5" t="n"/>
    </row>
    <row r="150">
      <c r="A150" s="5" t="n"/>
      <c r="B150" s="5" t="n"/>
      <c r="C150" s="5" t="n"/>
      <c r="D150" s="6" t="n"/>
      <c r="E150" s="5" t="n"/>
      <c r="F150" s="5" t="n"/>
    </row>
    <row r="151">
      <c r="A151" s="5" t="n"/>
      <c r="B151" s="5" t="n"/>
      <c r="C151" s="5" t="n"/>
      <c r="D151" s="6" t="n"/>
      <c r="E151" s="5" t="n"/>
      <c r="F151" s="5" t="n"/>
    </row>
    <row r="152">
      <c r="A152" s="5" t="n"/>
      <c r="B152" s="5" t="n"/>
      <c r="C152" s="5" t="n"/>
      <c r="D152" s="6" t="n"/>
      <c r="E152" s="5" t="n"/>
      <c r="F152" s="5" t="n"/>
    </row>
    <row r="153">
      <c r="A153" s="5" t="n"/>
      <c r="B153" s="5" t="n"/>
      <c r="C153" s="5" t="n"/>
      <c r="D153" s="6" t="n"/>
      <c r="E153" s="5" t="n"/>
      <c r="F153" s="5" t="n"/>
    </row>
    <row r="154">
      <c r="A154" s="5" t="n"/>
      <c r="B154" s="5" t="n"/>
      <c r="C154" s="5" t="n"/>
      <c r="D154" s="6" t="n"/>
      <c r="E154" s="5" t="n"/>
      <c r="F154" s="5" t="n"/>
    </row>
    <row r="155">
      <c r="A155" s="5" t="n"/>
      <c r="B155" s="5" t="n"/>
      <c r="C155" s="5" t="n"/>
      <c r="D155" s="6" t="n"/>
      <c r="E155" s="5" t="n"/>
      <c r="F155" s="5" t="n"/>
    </row>
    <row r="156">
      <c r="A156" s="5" t="n"/>
      <c r="B156" s="5" t="n"/>
      <c r="C156" s="5" t="n"/>
      <c r="D156" s="6" t="n"/>
      <c r="E156" s="5" t="n"/>
      <c r="F156" s="5" t="n"/>
    </row>
    <row r="157">
      <c r="A157" s="5" t="n"/>
      <c r="B157" s="5" t="n"/>
      <c r="C157" s="5" t="n"/>
      <c r="D157" s="6" t="n"/>
      <c r="E157" s="5" t="n"/>
      <c r="F157" s="5" t="n"/>
    </row>
    <row r="158">
      <c r="A158" s="5" t="n"/>
      <c r="B158" s="5" t="n"/>
      <c r="C158" s="5" t="n"/>
      <c r="D158" s="6" t="n"/>
      <c r="E158" s="5" t="n"/>
      <c r="F158" s="5" t="n"/>
    </row>
    <row r="159">
      <c r="A159" s="5" t="n"/>
      <c r="B159" s="5" t="n"/>
      <c r="C159" s="5" t="n"/>
      <c r="D159" s="6" t="n"/>
      <c r="E159" s="5" t="n"/>
      <c r="F159" s="5" t="n"/>
    </row>
    <row r="160">
      <c r="A160" s="5" t="n"/>
      <c r="B160" s="5" t="n"/>
      <c r="C160" s="5" t="n"/>
      <c r="D160" s="6" t="n"/>
      <c r="E160" s="5" t="n"/>
      <c r="F160" s="5" t="n"/>
    </row>
    <row r="161">
      <c r="A161" s="5" t="n"/>
      <c r="B161" s="5" t="n"/>
      <c r="C161" s="5" t="n"/>
      <c r="D161" s="6" t="n"/>
      <c r="E161" s="5" t="n"/>
      <c r="F161" s="5" t="n"/>
    </row>
    <row r="162">
      <c r="A162" s="5" t="n"/>
      <c r="B162" s="5" t="n"/>
      <c r="C162" s="5" t="n"/>
      <c r="D162" s="6" t="n"/>
      <c r="E162" s="5" t="n"/>
      <c r="F162" s="5" t="n"/>
    </row>
    <row r="163">
      <c r="A163" s="5" t="n"/>
      <c r="B163" s="5" t="n"/>
      <c r="C163" s="5" t="n"/>
      <c r="D163" s="6" t="n"/>
      <c r="E163" s="5" t="n"/>
      <c r="F163" s="5" t="n"/>
    </row>
    <row r="164">
      <c r="A164" s="5" t="n"/>
      <c r="B164" s="5" t="n"/>
      <c r="C164" s="5" t="n"/>
      <c r="D164" s="6" t="n"/>
      <c r="E164" s="5" t="n"/>
      <c r="F164" s="5" t="n"/>
    </row>
    <row r="165">
      <c r="A165" s="5" t="n"/>
      <c r="B165" s="5" t="n"/>
      <c r="C165" s="5" t="n"/>
      <c r="D165" s="6" t="n"/>
      <c r="E165" s="5" t="n"/>
      <c r="F165" s="5" t="n"/>
    </row>
    <row r="166">
      <c r="A166" s="5" t="n"/>
      <c r="B166" s="5" t="n"/>
      <c r="C166" s="5" t="n"/>
      <c r="D166" s="6" t="n"/>
      <c r="E166" s="5" t="n"/>
      <c r="F166" s="5" t="n"/>
    </row>
    <row r="167">
      <c r="A167" s="5" t="n"/>
      <c r="B167" s="5" t="n"/>
      <c r="C167" s="5" t="n"/>
      <c r="D167" s="6" t="n"/>
      <c r="E167" s="5" t="n"/>
      <c r="F167" s="5" t="n"/>
    </row>
    <row r="168">
      <c r="A168" s="5" t="n"/>
      <c r="B168" s="5" t="n"/>
      <c r="C168" s="5" t="n"/>
      <c r="D168" s="6" t="n"/>
      <c r="E168" s="5" t="n"/>
      <c r="F168" s="5" t="n"/>
    </row>
    <row r="169">
      <c r="A169" s="5" t="n"/>
      <c r="B169" s="5" t="n"/>
      <c r="C169" s="5" t="n"/>
      <c r="D169" s="6" t="n"/>
      <c r="E169" s="5" t="n"/>
      <c r="F169" s="5" t="n"/>
    </row>
    <row r="170">
      <c r="A170" s="5" t="n"/>
      <c r="B170" s="5" t="n"/>
      <c r="C170" s="5" t="n"/>
      <c r="D170" s="6" t="n"/>
      <c r="E170" s="5" t="n"/>
      <c r="F170" s="5" t="n"/>
    </row>
    <row r="171">
      <c r="A171" s="5" t="n"/>
      <c r="B171" s="5" t="n"/>
      <c r="C171" s="5" t="n"/>
      <c r="D171" s="6" t="n"/>
      <c r="E171" s="5" t="n"/>
      <c r="F171" s="5" t="n"/>
    </row>
    <row r="172">
      <c r="A172" s="5" t="n"/>
      <c r="B172" s="5" t="n"/>
      <c r="C172" s="5" t="n"/>
      <c r="D172" s="6" t="n"/>
      <c r="E172" s="5" t="n"/>
      <c r="F172" s="5" t="n"/>
    </row>
    <row r="173">
      <c r="A173" s="5" t="n"/>
      <c r="B173" s="5" t="n"/>
      <c r="C173" s="5" t="n"/>
      <c r="D173" s="6" t="n"/>
      <c r="E173" s="5" t="n"/>
      <c r="F173" s="5" t="n"/>
    </row>
    <row r="174">
      <c r="A174" s="5" t="n"/>
      <c r="B174" s="5" t="n"/>
      <c r="C174" s="5" t="n"/>
      <c r="D174" s="6" t="n"/>
      <c r="E174" s="5" t="n"/>
      <c r="F174" s="5" t="n"/>
    </row>
    <row r="175">
      <c r="A175" s="5" t="n"/>
      <c r="B175" s="5" t="n"/>
      <c r="C175" s="5" t="n"/>
      <c r="D175" s="6" t="n"/>
      <c r="E175" s="5" t="n"/>
      <c r="F175" s="5" t="n"/>
    </row>
    <row r="176">
      <c r="A176" s="5" t="n"/>
      <c r="B176" s="5" t="n"/>
      <c r="C176" s="5" t="n"/>
      <c r="D176" s="6" t="n"/>
      <c r="E176" s="5" t="n"/>
      <c r="F176" s="5" t="n"/>
    </row>
    <row r="177">
      <c r="A177" s="5" t="n"/>
      <c r="B177" s="5" t="n"/>
      <c r="C177" s="5" t="n"/>
      <c r="D177" s="6" t="n"/>
      <c r="E177" s="5" t="n"/>
      <c r="F177" s="5" t="n"/>
    </row>
    <row r="178">
      <c r="A178" s="5" t="n"/>
      <c r="B178" s="5" t="n"/>
      <c r="C178" s="5" t="n"/>
      <c r="D178" s="6" t="n"/>
      <c r="E178" s="5" t="n"/>
      <c r="F178" s="5" t="n"/>
    </row>
    <row r="179">
      <c r="A179" s="5" t="n"/>
      <c r="B179" s="5" t="n"/>
      <c r="C179" s="5" t="n"/>
      <c r="D179" s="6" t="n"/>
      <c r="E179" s="5" t="n"/>
      <c r="F179" s="5" t="n"/>
    </row>
    <row r="180">
      <c r="A180" s="5" t="n"/>
      <c r="B180" s="5" t="n"/>
      <c r="C180" s="5" t="n"/>
      <c r="D180" s="6" t="n"/>
      <c r="E180" s="5" t="n"/>
      <c r="F180" s="5" t="n"/>
    </row>
    <row r="181">
      <c r="A181" s="5" t="n"/>
      <c r="B181" s="5" t="n"/>
      <c r="C181" s="5" t="n"/>
      <c r="D181" s="6" t="n"/>
      <c r="E181" s="5" t="n"/>
      <c r="F181" s="5" t="n"/>
    </row>
    <row r="182">
      <c r="A182" s="5" t="n"/>
      <c r="B182" s="5" t="n"/>
      <c r="C182" s="5" t="n"/>
      <c r="D182" s="6" t="n"/>
      <c r="E182" s="5" t="n"/>
      <c r="F182" s="5" t="n"/>
    </row>
    <row r="183">
      <c r="A183" s="5" t="n"/>
      <c r="B183" s="5" t="n"/>
      <c r="C183" s="5" t="n"/>
      <c r="D183" s="6" t="n"/>
      <c r="E183" s="5" t="n"/>
      <c r="F183" s="5" t="n"/>
    </row>
    <row r="184">
      <c r="A184" s="5" t="n"/>
      <c r="B184" s="5" t="n"/>
      <c r="C184" s="5" t="n"/>
      <c r="D184" s="6" t="n"/>
      <c r="E184" s="5" t="n"/>
      <c r="F184" s="5" t="n"/>
    </row>
    <row r="185">
      <c r="A185" s="5" t="n"/>
      <c r="B185" s="5" t="n"/>
      <c r="C185" s="5" t="n"/>
      <c r="D185" s="6" t="n"/>
      <c r="E185" s="5" t="n"/>
      <c r="F185" s="5" t="n"/>
    </row>
    <row r="186">
      <c r="A186" s="5" t="n"/>
      <c r="B186" s="5" t="n"/>
      <c r="C186" s="5" t="n"/>
      <c r="D186" s="6" t="n"/>
      <c r="E186" s="5" t="n"/>
      <c r="F186" s="5" t="n"/>
    </row>
    <row r="187">
      <c r="A187" s="5" t="n"/>
      <c r="B187" s="5" t="n"/>
      <c r="C187" s="5" t="n"/>
      <c r="D187" s="6" t="n"/>
      <c r="E187" s="5" t="n"/>
      <c r="F187" s="5" t="n"/>
    </row>
    <row r="188">
      <c r="A188" s="5" t="n"/>
      <c r="B188" s="5" t="n"/>
      <c r="C188" s="5" t="n"/>
      <c r="D188" s="6" t="n"/>
      <c r="E188" s="5" t="n"/>
      <c r="F188" s="5" t="n"/>
    </row>
    <row r="189">
      <c r="A189" s="5" t="n"/>
      <c r="B189" s="5" t="n"/>
      <c r="C189" s="5" t="n"/>
      <c r="D189" s="6" t="n"/>
      <c r="E189" s="5" t="n"/>
      <c r="F189" s="5" t="n"/>
    </row>
    <row r="190">
      <c r="A190" s="5" t="n"/>
      <c r="B190" s="5" t="n"/>
      <c r="C190" s="5" t="n"/>
      <c r="D190" s="6" t="n"/>
      <c r="E190" s="5" t="n"/>
      <c r="F190" s="5" t="n"/>
    </row>
    <row r="191">
      <c r="A191" s="5" t="n"/>
      <c r="B191" s="5" t="n"/>
      <c r="C191" s="5" t="n"/>
      <c r="D191" s="6" t="n"/>
      <c r="E191" s="5" t="n"/>
      <c r="F191" s="5" t="n"/>
    </row>
    <row r="192">
      <c r="A192" s="5" t="n"/>
      <c r="B192" s="5" t="n"/>
      <c r="C192" s="5" t="n"/>
      <c r="D192" s="6" t="n"/>
      <c r="E192" s="5" t="n"/>
      <c r="F192" s="5" t="n"/>
    </row>
    <row r="193">
      <c r="A193" s="5" t="n"/>
      <c r="B193" s="5" t="n"/>
      <c r="C193" s="5" t="n"/>
      <c r="D193" s="6" t="n"/>
      <c r="E193" s="5" t="n"/>
      <c r="F193" s="5" t="n"/>
    </row>
    <row r="194">
      <c r="A194" s="5" t="n"/>
      <c r="B194" s="5" t="n"/>
      <c r="C194" s="5" t="n"/>
      <c r="D194" s="6" t="n"/>
      <c r="E194" s="5" t="n"/>
      <c r="F194" s="5" t="n"/>
    </row>
    <row r="195">
      <c r="A195" s="5" t="n"/>
      <c r="B195" s="5" t="n"/>
      <c r="C195" s="5" t="n"/>
      <c r="D195" s="6" t="n"/>
      <c r="E195" s="5" t="n"/>
      <c r="F195" s="5" t="n"/>
    </row>
    <row r="196">
      <c r="A196" s="5" t="n"/>
      <c r="B196" s="5" t="n"/>
      <c r="C196" s="5" t="n"/>
      <c r="D196" s="6" t="n"/>
      <c r="E196" s="5" t="n"/>
      <c r="F196" s="5" t="n"/>
    </row>
    <row r="197">
      <c r="A197" s="5" t="n"/>
      <c r="B197" s="5" t="n"/>
      <c r="C197" s="5" t="n"/>
      <c r="D197" s="6" t="n"/>
      <c r="E197" s="5" t="n"/>
      <c r="F197" s="5" t="n"/>
    </row>
    <row r="198">
      <c r="A198" s="5" t="n"/>
      <c r="B198" s="5" t="n"/>
      <c r="C198" s="5" t="n"/>
      <c r="D198" s="6" t="n"/>
      <c r="E198" s="5" t="n"/>
      <c r="F198" s="5" t="n"/>
    </row>
    <row r="199">
      <c r="A199" s="5" t="n"/>
      <c r="B199" s="5" t="n"/>
      <c r="C199" s="5" t="n"/>
      <c r="D199" s="6" t="n"/>
      <c r="E199" s="5" t="n"/>
      <c r="F199" s="5" t="n"/>
    </row>
    <row r="200">
      <c r="A200" s="5" t="n"/>
      <c r="B200" s="5" t="n"/>
      <c r="C200" s="5" t="n"/>
      <c r="D200" s="6" t="n"/>
      <c r="E200" s="5" t="n"/>
      <c r="F200" s="5" t="n"/>
    </row>
    <row r="201">
      <c r="A201" s="5" t="n"/>
      <c r="B201" s="5" t="n"/>
      <c r="C201" s="5" t="n"/>
      <c r="D201" s="6" t="n"/>
      <c r="E201" s="5" t="n"/>
      <c r="F201" s="5" t="n"/>
    </row>
    <row r="202">
      <c r="A202" s="5" t="n"/>
      <c r="B202" s="5" t="n"/>
      <c r="C202" s="5" t="n"/>
      <c r="D202" s="6" t="n"/>
      <c r="E202" s="5" t="n"/>
      <c r="F202" s="5" t="n"/>
    </row>
    <row r="203">
      <c r="A203" s="5" t="n"/>
      <c r="B203" s="5" t="n"/>
      <c r="C203" s="5" t="n"/>
      <c r="D203" s="6" t="n"/>
      <c r="E203" s="5" t="n"/>
      <c r="F203" s="5" t="n"/>
    </row>
    <row r="204">
      <c r="A204" s="5" t="n"/>
      <c r="B204" s="5" t="n"/>
      <c r="C204" s="5" t="n"/>
      <c r="D204" s="6" t="n"/>
      <c r="E204" s="5" t="n"/>
      <c r="F204" s="5" t="n"/>
    </row>
    <row r="205">
      <c r="A205" s="5" t="n"/>
      <c r="B205" s="5" t="n"/>
      <c r="C205" s="5" t="n"/>
      <c r="D205" s="6" t="n"/>
      <c r="E205" s="5" t="n"/>
      <c r="F205" s="5" t="n"/>
    </row>
    <row r="206">
      <c r="A206" s="5" t="n"/>
      <c r="B206" s="5" t="n"/>
      <c r="C206" s="5" t="n"/>
      <c r="D206" s="6" t="n"/>
      <c r="E206" s="5" t="n"/>
      <c r="F206" s="5" t="n"/>
    </row>
    <row r="207">
      <c r="A207" s="5" t="n"/>
      <c r="B207" s="5" t="n"/>
      <c r="C207" s="5" t="n"/>
      <c r="D207" s="6" t="n"/>
      <c r="E207" s="5" t="n"/>
      <c r="F207" s="5" t="n"/>
    </row>
    <row r="208">
      <c r="A208" s="5" t="n"/>
      <c r="B208" s="5" t="n"/>
      <c r="C208" s="5" t="n"/>
      <c r="D208" s="6" t="n"/>
      <c r="E208" s="5" t="n"/>
      <c r="F208" s="5" t="n"/>
    </row>
    <row r="209">
      <c r="A209" s="5" t="n"/>
      <c r="B209" s="5" t="n"/>
      <c r="C209" s="5" t="n"/>
      <c r="D209" s="6" t="n"/>
      <c r="E209" s="5" t="n"/>
      <c r="F209" s="5" t="n"/>
    </row>
    <row r="210">
      <c r="A210" s="5" t="n"/>
      <c r="B210" s="5" t="n"/>
      <c r="C210" s="5" t="n"/>
      <c r="D210" s="6" t="n"/>
      <c r="E210" s="5" t="n"/>
      <c r="F210" s="5" t="n"/>
    </row>
    <row r="211">
      <c r="A211" s="5" t="n"/>
      <c r="B211" s="5" t="n"/>
      <c r="C211" s="5" t="n"/>
      <c r="D211" s="6" t="n"/>
      <c r="E211" s="5" t="n"/>
      <c r="F211" s="5" t="n"/>
    </row>
    <row r="212">
      <c r="A212" s="5" t="n"/>
      <c r="B212" s="5" t="n"/>
      <c r="C212" s="5" t="n"/>
      <c r="D212" s="6" t="n"/>
      <c r="E212" s="5" t="n"/>
      <c r="F212" s="5" t="n"/>
    </row>
    <row r="213">
      <c r="A213" s="5" t="n"/>
      <c r="B213" s="5" t="n"/>
      <c r="C213" s="5" t="n"/>
      <c r="D213" s="6" t="n"/>
      <c r="E213" s="5" t="n"/>
      <c r="F213" s="5" t="n"/>
    </row>
    <row r="214">
      <c r="A214" s="5" t="n"/>
      <c r="B214" s="5" t="n"/>
      <c r="C214" s="5" t="n"/>
      <c r="D214" s="6" t="n"/>
      <c r="E214" s="5" t="n"/>
      <c r="F214" s="5" t="n"/>
    </row>
    <row r="215">
      <c r="A215" s="5" t="n"/>
      <c r="B215" s="5" t="n"/>
      <c r="C215" s="5" t="n"/>
      <c r="D215" s="6" t="n"/>
      <c r="E215" s="5" t="n"/>
      <c r="F215" s="5" t="n"/>
    </row>
    <row r="216">
      <c r="A216" s="5" t="n"/>
      <c r="B216" s="5" t="n"/>
      <c r="C216" s="5" t="n"/>
      <c r="D216" s="6" t="n"/>
      <c r="E216" s="5" t="n"/>
      <c r="F216" s="5" t="n"/>
    </row>
    <row r="217">
      <c r="A217" s="5" t="n"/>
      <c r="B217" s="5" t="n"/>
      <c r="C217" s="5" t="n"/>
      <c r="D217" s="6" t="n"/>
      <c r="E217" s="5" t="n"/>
      <c r="F217" s="5" t="n"/>
    </row>
    <row r="218">
      <c r="A218" s="5" t="n"/>
      <c r="B218" s="5" t="n"/>
      <c r="C218" s="5" t="n"/>
      <c r="D218" s="6" t="n"/>
      <c r="E218" s="5" t="n"/>
      <c r="F218" s="5" t="n"/>
    </row>
    <row r="219">
      <c r="A219" s="5" t="n"/>
      <c r="B219" s="5" t="n"/>
      <c r="C219" s="5" t="n"/>
      <c r="D219" s="6" t="n"/>
      <c r="E219" s="5" t="n"/>
      <c r="F219" s="5" t="n"/>
    </row>
    <row r="220">
      <c r="A220" s="5" t="n"/>
      <c r="B220" s="5" t="n"/>
      <c r="C220" s="5" t="n"/>
      <c r="D220" s="6" t="n"/>
      <c r="E220" s="5" t="n"/>
      <c r="F220" s="5" t="n"/>
    </row>
    <row r="221">
      <c r="A221" s="5" t="n"/>
      <c r="B221" s="5" t="n"/>
      <c r="C221" s="5" t="n"/>
      <c r="D221" s="6" t="n"/>
      <c r="E221" s="5" t="n"/>
      <c r="F221" s="5" t="n"/>
    </row>
    <row r="222">
      <c r="A222" s="5" t="n"/>
      <c r="B222" s="5" t="n"/>
      <c r="C222" s="5" t="n"/>
      <c r="D222" s="6" t="n"/>
      <c r="E222" s="5" t="n"/>
      <c r="F222" s="5" t="n"/>
    </row>
    <row r="223">
      <c r="A223" s="5" t="n"/>
      <c r="B223" s="5" t="n"/>
      <c r="C223" s="5" t="n"/>
      <c r="D223" s="6" t="n"/>
      <c r="E223" s="5" t="n"/>
      <c r="F223" s="5" t="n"/>
    </row>
    <row r="224">
      <c r="A224" s="5" t="n"/>
      <c r="B224" s="5" t="n"/>
      <c r="C224" s="5" t="n"/>
      <c r="D224" s="6" t="n"/>
      <c r="E224" s="5" t="n"/>
      <c r="F224" s="5" t="n"/>
    </row>
    <row r="225">
      <c r="A225" s="5" t="n"/>
      <c r="B225" s="5" t="n"/>
      <c r="C225" s="5" t="n"/>
      <c r="D225" s="6" t="n"/>
      <c r="E225" s="5" t="n"/>
      <c r="F225" s="5" t="n"/>
    </row>
    <row r="226">
      <c r="A226" s="5" t="n"/>
      <c r="B226" s="5" t="n"/>
      <c r="C226" s="5" t="n"/>
      <c r="D226" s="6" t="n"/>
      <c r="E226" s="5" t="n"/>
      <c r="F226" s="5" t="n"/>
    </row>
    <row r="227">
      <c r="A227" s="5" t="n"/>
      <c r="B227" s="5" t="n"/>
      <c r="C227" s="5" t="n"/>
      <c r="D227" s="6" t="n"/>
      <c r="E227" s="5" t="n"/>
      <c r="F227" s="5" t="n"/>
    </row>
    <row r="228">
      <c r="A228" s="5" t="n"/>
      <c r="B228" s="5" t="n"/>
      <c r="C228" s="5" t="n"/>
      <c r="D228" s="6" t="n"/>
      <c r="E228" s="5" t="n"/>
      <c r="F228" s="5" t="n"/>
    </row>
    <row r="229">
      <c r="A229" s="5" t="n"/>
      <c r="B229" s="5" t="n"/>
      <c r="C229" s="5" t="n"/>
      <c r="D229" s="6" t="n"/>
      <c r="E229" s="5" t="n"/>
      <c r="F229" s="5" t="n"/>
    </row>
    <row r="230">
      <c r="A230" s="5" t="n"/>
      <c r="B230" s="5" t="n"/>
      <c r="C230" s="5" t="n"/>
      <c r="D230" s="6" t="n"/>
      <c r="E230" s="5" t="n"/>
      <c r="F230" s="5" t="n"/>
    </row>
    <row r="231">
      <c r="A231" s="5" t="n"/>
      <c r="B231" s="5" t="n"/>
      <c r="C231" s="5" t="n"/>
      <c r="D231" s="6" t="n"/>
      <c r="E231" s="5" t="n"/>
      <c r="F231" s="5" t="n"/>
    </row>
    <row r="232">
      <c r="A232" s="5" t="n"/>
      <c r="B232" s="5" t="n"/>
      <c r="C232" s="5" t="n"/>
      <c r="D232" s="6" t="n"/>
      <c r="E232" s="5" t="n"/>
      <c r="F232" s="5" t="n"/>
    </row>
    <row r="233">
      <c r="A233" s="5" t="n"/>
      <c r="B233" s="5" t="n"/>
      <c r="C233" s="5" t="n"/>
      <c r="D233" s="6" t="n"/>
      <c r="E233" s="5" t="n"/>
      <c r="F233" s="5" t="n"/>
    </row>
    <row r="234">
      <c r="A234" s="5" t="n"/>
      <c r="B234" s="5" t="n"/>
      <c r="C234" s="5" t="n"/>
      <c r="D234" s="6" t="n"/>
      <c r="E234" s="5" t="n"/>
      <c r="F234" s="5" t="n"/>
    </row>
    <row r="235">
      <c r="A235" s="5" t="n"/>
      <c r="B235" s="5" t="n"/>
      <c r="C235" s="5" t="n"/>
      <c r="D235" s="6" t="n"/>
      <c r="E235" s="5" t="n"/>
      <c r="F235" s="5" t="n"/>
    </row>
    <row r="236">
      <c r="A236" s="5" t="n"/>
      <c r="B236" s="5" t="n"/>
      <c r="C236" s="5" t="n"/>
      <c r="D236" s="6" t="n"/>
      <c r="E236" s="5" t="n"/>
      <c r="F236" s="5" t="n"/>
    </row>
    <row r="237">
      <c r="A237" s="5" t="n"/>
      <c r="B237" s="5" t="n"/>
      <c r="C237" s="5" t="n"/>
      <c r="D237" s="6" t="n"/>
      <c r="E237" s="5" t="n"/>
      <c r="F237" s="5" t="n"/>
    </row>
    <row r="238">
      <c r="A238" s="5" t="n"/>
      <c r="B238" s="5" t="n"/>
      <c r="C238" s="5" t="n"/>
      <c r="D238" s="6" t="n"/>
      <c r="E238" s="5" t="n"/>
      <c r="F238" s="5" t="n"/>
    </row>
    <row r="239">
      <c r="A239" s="5" t="n"/>
      <c r="B239" s="5" t="n"/>
      <c r="C239" s="5" t="n"/>
      <c r="D239" s="6" t="n"/>
      <c r="E239" s="5" t="n"/>
      <c r="F239" s="5" t="n"/>
    </row>
    <row r="240">
      <c r="A240" s="5" t="n"/>
      <c r="B240" s="5" t="n"/>
      <c r="C240" s="5" t="n"/>
      <c r="D240" s="6" t="n"/>
      <c r="E240" s="5" t="n"/>
      <c r="F240" s="5" t="n"/>
    </row>
    <row r="241">
      <c r="A241" s="5" t="n"/>
      <c r="B241" s="5" t="n"/>
      <c r="C241" s="5" t="n"/>
      <c r="D241" s="6" t="n"/>
      <c r="E241" s="5" t="n"/>
      <c r="F241" s="5" t="n"/>
    </row>
    <row r="242">
      <c r="A242" s="5" t="n"/>
      <c r="B242" s="5" t="n"/>
      <c r="C242" s="5" t="n"/>
      <c r="D242" s="6" t="n"/>
      <c r="E242" s="5" t="n"/>
      <c r="F242" s="5" t="n"/>
    </row>
    <row r="243">
      <c r="A243" s="5" t="n"/>
      <c r="B243" s="5" t="n"/>
      <c r="C243" s="5" t="n"/>
      <c r="D243" s="6" t="n"/>
      <c r="E243" s="5" t="n"/>
      <c r="F243" s="5" t="n"/>
    </row>
    <row r="244">
      <c r="A244" s="5" t="n"/>
      <c r="B244" s="5" t="n"/>
      <c r="C244" s="5" t="n"/>
      <c r="D244" s="6" t="n"/>
      <c r="E244" s="5" t="n"/>
      <c r="F244" s="5" t="n"/>
    </row>
    <row r="245">
      <c r="A245" s="5" t="n"/>
      <c r="B245" s="5" t="n"/>
      <c r="C245" s="5" t="n"/>
      <c r="D245" s="6" t="n"/>
      <c r="E245" s="5" t="n"/>
      <c r="F245" s="5" t="n"/>
    </row>
    <row r="246">
      <c r="A246" s="5" t="n"/>
      <c r="B246" s="5" t="n"/>
      <c r="C246" s="5" t="n"/>
      <c r="D246" s="6" t="n"/>
      <c r="E246" s="5" t="n"/>
      <c r="F246" s="5" t="n"/>
    </row>
    <row r="247">
      <c r="A247" s="5" t="n"/>
      <c r="B247" s="5" t="n"/>
      <c r="C247" s="5" t="n"/>
      <c r="D247" s="6" t="n"/>
      <c r="E247" s="5" t="n"/>
      <c r="F247" s="5" t="n"/>
    </row>
    <row r="248">
      <c r="A248" s="5" t="n"/>
      <c r="B248" s="5" t="n"/>
      <c r="C248" s="5" t="n"/>
      <c r="D248" s="6" t="n"/>
      <c r="E248" s="5" t="n"/>
      <c r="F248" s="5" t="n"/>
    </row>
    <row r="249">
      <c r="A249" s="5" t="n"/>
      <c r="B249" s="5" t="n"/>
      <c r="C249" s="5" t="n"/>
      <c r="D249" s="6" t="n"/>
      <c r="E249" s="5" t="n"/>
      <c r="F249" s="5" t="n"/>
    </row>
    <row r="250">
      <c r="A250" s="5" t="n"/>
      <c r="B250" s="5" t="n"/>
      <c r="C250" s="5" t="n"/>
      <c r="D250" s="6" t="n"/>
      <c r="E250" s="5" t="n"/>
      <c r="F250" s="5" t="n"/>
    </row>
    <row r="251">
      <c r="A251" s="5" t="n"/>
      <c r="B251" s="5" t="n"/>
      <c r="C251" s="5" t="n"/>
      <c r="D251" s="6" t="n"/>
      <c r="E251" s="5" t="n"/>
      <c r="F251" s="5" t="n"/>
    </row>
    <row r="252">
      <c r="A252" s="5" t="n"/>
      <c r="B252" s="5" t="n"/>
      <c r="C252" s="5" t="n"/>
      <c r="D252" s="6" t="n"/>
      <c r="E252" s="5" t="n"/>
      <c r="F252" s="5" t="n"/>
    </row>
    <row r="253">
      <c r="A253" s="5" t="n"/>
      <c r="B253" s="5" t="n"/>
      <c r="C253" s="5" t="n"/>
      <c r="D253" s="6" t="n"/>
      <c r="E253" s="5" t="n"/>
      <c r="F253" s="5" t="n"/>
    </row>
    <row r="254">
      <c r="A254" s="5" t="n"/>
      <c r="B254" s="5" t="n"/>
      <c r="C254" s="5" t="n"/>
      <c r="D254" s="6" t="n"/>
      <c r="E254" s="5" t="n"/>
      <c r="F254" s="5" t="n"/>
    </row>
    <row r="255">
      <c r="A255" s="5" t="n"/>
      <c r="B255" s="5" t="n"/>
      <c r="C255" s="5" t="n"/>
      <c r="D255" s="6" t="n"/>
      <c r="E255" s="5" t="n"/>
      <c r="F255" s="5" t="n"/>
    </row>
    <row r="256">
      <c r="A256" s="5" t="n"/>
      <c r="B256" s="5" t="n"/>
      <c r="C256" s="5" t="n"/>
      <c r="D256" s="6" t="n"/>
      <c r="E256" s="5" t="n"/>
      <c r="F256" s="5" t="n"/>
    </row>
    <row r="257">
      <c r="A257" s="5" t="n"/>
      <c r="B257" s="5" t="n"/>
      <c r="C257" s="5" t="n"/>
      <c r="D257" s="6" t="n"/>
      <c r="E257" s="5" t="n"/>
      <c r="F257" s="5" t="n"/>
    </row>
    <row r="258">
      <c r="A258" s="5" t="n"/>
      <c r="B258" s="5" t="n"/>
      <c r="C258" s="5" t="n"/>
      <c r="D258" s="6" t="n"/>
      <c r="E258" s="5" t="n"/>
      <c r="F258" s="5" t="n"/>
    </row>
    <row r="259">
      <c r="A259" s="5" t="n"/>
      <c r="B259" s="5" t="n"/>
      <c r="C259" s="5" t="n"/>
      <c r="D259" s="6" t="n"/>
      <c r="E259" s="5" t="n"/>
      <c r="F259" s="5" t="n"/>
    </row>
    <row r="260">
      <c r="A260" s="5" t="n"/>
      <c r="B260" s="5" t="n"/>
      <c r="C260" s="5" t="n"/>
      <c r="D260" s="6" t="n"/>
      <c r="E260" s="5" t="n"/>
      <c r="F260" s="5" t="n"/>
    </row>
    <row r="261">
      <c r="A261" s="5" t="n"/>
      <c r="B261" s="5" t="n"/>
      <c r="C261" s="5" t="n"/>
      <c r="D261" s="6" t="n"/>
      <c r="E261" s="5" t="n"/>
      <c r="F261" s="5" t="n"/>
    </row>
    <row r="262">
      <c r="A262" s="5" t="n"/>
      <c r="B262" s="5" t="n"/>
      <c r="C262" s="5" t="n"/>
      <c r="D262" s="6" t="n"/>
      <c r="E262" s="5" t="n"/>
      <c r="F262" s="5" t="n"/>
    </row>
    <row r="263">
      <c r="A263" s="5" t="n"/>
      <c r="B263" s="5" t="n"/>
      <c r="C263" s="5" t="n"/>
      <c r="D263" s="6" t="n"/>
      <c r="E263" s="5" t="n"/>
      <c r="F263" s="5" t="n"/>
    </row>
    <row r="264">
      <c r="A264" s="5" t="n"/>
      <c r="B264" s="5" t="n"/>
      <c r="C264" s="5" t="n"/>
      <c r="D264" s="6" t="n"/>
      <c r="E264" s="5" t="n"/>
      <c r="F264" s="5" t="n"/>
    </row>
    <row r="265">
      <c r="A265" s="5" t="n"/>
      <c r="B265" s="5" t="n"/>
      <c r="C265" s="5" t="n"/>
      <c r="D265" s="6" t="n"/>
      <c r="E265" s="5" t="n"/>
      <c r="F265" s="5" t="n"/>
    </row>
    <row r="266">
      <c r="A266" s="5" t="n"/>
      <c r="B266" s="5" t="n"/>
      <c r="C266" s="5" t="n"/>
      <c r="D266" s="6" t="n"/>
      <c r="E266" s="5" t="n"/>
      <c r="F266" s="5" t="n"/>
    </row>
    <row r="267">
      <c r="A267" s="5" t="n"/>
      <c r="B267" s="5" t="n"/>
      <c r="C267" s="5" t="n"/>
      <c r="D267" s="6" t="n"/>
      <c r="E267" s="5" t="n"/>
      <c r="F267" s="5" t="n"/>
    </row>
    <row r="268">
      <c r="A268" s="5" t="n"/>
      <c r="B268" s="5" t="n"/>
      <c r="C268" s="5" t="n"/>
      <c r="D268" s="6" t="n"/>
      <c r="E268" s="5" t="n"/>
      <c r="F268" s="5" t="n"/>
    </row>
    <row r="269">
      <c r="A269" s="5" t="n"/>
      <c r="B269" s="5" t="n"/>
      <c r="C269" s="5" t="n"/>
      <c r="D269" s="6" t="n"/>
      <c r="E269" s="5" t="n"/>
      <c r="F269" s="5" t="n"/>
    </row>
    <row r="270">
      <c r="A270" s="5" t="n"/>
      <c r="B270" s="5" t="n"/>
      <c r="C270" s="5" t="n"/>
      <c r="D270" s="6" t="n"/>
      <c r="E270" s="5" t="n"/>
      <c r="F270" s="5" t="n"/>
    </row>
    <row r="271">
      <c r="A271" s="5" t="n"/>
      <c r="B271" s="5" t="n"/>
      <c r="C271" s="5" t="n"/>
      <c r="D271" s="6" t="n"/>
      <c r="E271" s="5" t="n"/>
      <c r="F271" s="5" t="n"/>
    </row>
    <row r="272">
      <c r="A272" s="5" t="n"/>
      <c r="B272" s="5" t="n"/>
      <c r="C272" s="5" t="n"/>
      <c r="D272" s="6" t="n"/>
      <c r="E272" s="5" t="n"/>
      <c r="F272" s="5" t="n"/>
    </row>
    <row r="273">
      <c r="A273" s="5" t="n"/>
      <c r="B273" s="5" t="n"/>
      <c r="C273" s="5" t="n"/>
      <c r="D273" s="6" t="n"/>
      <c r="E273" s="5" t="n"/>
      <c r="F273" s="5" t="n"/>
    </row>
    <row r="274">
      <c r="A274" s="5" t="n"/>
      <c r="B274" s="5" t="n"/>
      <c r="C274" s="5" t="n"/>
      <c r="D274" s="6" t="n"/>
      <c r="E274" s="5" t="n"/>
      <c r="F274" s="5" t="n"/>
    </row>
    <row r="275">
      <c r="A275" s="5" t="n"/>
      <c r="B275" s="5" t="n"/>
      <c r="C275" s="5" t="n"/>
      <c r="D275" s="6" t="n"/>
      <c r="E275" s="5" t="n"/>
      <c r="F275" s="5" t="n"/>
    </row>
    <row r="276">
      <c r="A276" s="5" t="n"/>
      <c r="B276" s="5" t="n"/>
      <c r="C276" s="5" t="n"/>
      <c r="D276" s="6" t="n"/>
      <c r="E276" s="5" t="n"/>
      <c r="F276" s="5" t="n"/>
    </row>
    <row r="277">
      <c r="A277" s="5" t="n"/>
      <c r="B277" s="5" t="n"/>
      <c r="C277" s="5" t="n"/>
      <c r="D277" s="6" t="n"/>
      <c r="E277" s="5" t="n"/>
      <c r="F277" s="5" t="n"/>
    </row>
    <row r="278">
      <c r="A278" s="5" t="n"/>
      <c r="B278" s="5" t="n"/>
      <c r="C278" s="5" t="n"/>
      <c r="D278" s="6" t="n"/>
      <c r="E278" s="5" t="n"/>
      <c r="F278" s="5" t="n"/>
    </row>
    <row r="279">
      <c r="A279" s="5" t="n"/>
      <c r="B279" s="5" t="n"/>
      <c r="C279" s="5" t="n"/>
      <c r="D279" s="6" t="n"/>
      <c r="E279" s="5" t="n"/>
      <c r="F279" s="5" t="n"/>
    </row>
    <row r="280">
      <c r="A280" s="5" t="n"/>
      <c r="B280" s="5" t="n"/>
      <c r="C280" s="5" t="n"/>
      <c r="D280" s="6" t="n"/>
      <c r="E280" s="5" t="n"/>
      <c r="F280" s="5" t="n"/>
    </row>
    <row r="281">
      <c r="A281" s="5" t="n"/>
      <c r="B281" s="5" t="n"/>
      <c r="C281" s="5" t="n"/>
      <c r="D281" s="6" t="n"/>
      <c r="E281" s="5" t="n"/>
      <c r="F281" s="5" t="n"/>
    </row>
    <row r="282">
      <c r="A282" s="5" t="n"/>
      <c r="B282" s="5" t="n"/>
      <c r="C282" s="5" t="n"/>
      <c r="D282" s="6" t="n"/>
      <c r="E282" s="5" t="n"/>
      <c r="F282" s="5" t="n"/>
    </row>
    <row r="283">
      <c r="A283" s="5" t="n"/>
      <c r="B283" s="5" t="n"/>
      <c r="C283" s="5" t="n"/>
      <c r="D283" s="6" t="n"/>
      <c r="E283" s="5" t="n"/>
      <c r="F283" s="5" t="n"/>
    </row>
    <row r="284">
      <c r="A284" s="5" t="n"/>
      <c r="B284" s="5" t="n"/>
      <c r="C284" s="5" t="n"/>
      <c r="D284" s="6" t="n"/>
      <c r="E284" s="5" t="n"/>
      <c r="F284" s="5" t="n"/>
    </row>
    <row r="285">
      <c r="A285" s="5" t="n"/>
      <c r="B285" s="5" t="n"/>
      <c r="C285" s="5" t="n"/>
      <c r="D285" s="6" t="n"/>
      <c r="E285" s="5" t="n"/>
      <c r="F285" s="5" t="n"/>
    </row>
    <row r="286">
      <c r="A286" s="5" t="n"/>
      <c r="B286" s="5" t="n"/>
      <c r="C286" s="5" t="n"/>
      <c r="D286" s="6" t="n"/>
      <c r="E286" s="5" t="n"/>
      <c r="F286" s="5" t="n"/>
    </row>
    <row r="287">
      <c r="A287" s="5" t="n"/>
      <c r="B287" s="5" t="n"/>
      <c r="C287" s="5" t="n"/>
      <c r="D287" s="6" t="n"/>
      <c r="E287" s="5" t="n"/>
      <c r="F287" s="5" t="n"/>
    </row>
    <row r="288">
      <c r="A288" s="5" t="n"/>
      <c r="B288" s="5" t="n"/>
      <c r="C288" s="5" t="n"/>
      <c r="D288" s="6" t="n"/>
      <c r="E288" s="5" t="n"/>
      <c r="F288" s="5" t="n"/>
    </row>
    <row r="289">
      <c r="A289" s="5" t="n"/>
      <c r="B289" s="5" t="n"/>
      <c r="C289" s="5" t="n"/>
      <c r="D289" s="6" t="n"/>
      <c r="E289" s="5" t="n"/>
      <c r="F289" s="5" t="n"/>
    </row>
    <row r="290">
      <c r="A290" s="5" t="n"/>
      <c r="B290" s="5" t="n"/>
      <c r="C290" s="5" t="n"/>
      <c r="D290" s="6" t="n"/>
      <c r="E290" s="5" t="n"/>
      <c r="F290" s="5" t="n"/>
    </row>
    <row r="291">
      <c r="A291" s="5" t="n"/>
      <c r="B291" s="5" t="n"/>
      <c r="C291" s="5" t="n"/>
      <c r="D291" s="6" t="n"/>
      <c r="E291" s="5" t="n"/>
      <c r="F291" s="5" t="n"/>
    </row>
    <row r="292">
      <c r="A292" s="5" t="n"/>
      <c r="B292" s="5" t="n"/>
      <c r="C292" s="5" t="n"/>
      <c r="D292" s="6" t="n"/>
      <c r="E292" s="5" t="n"/>
      <c r="F292" s="5" t="n"/>
    </row>
    <row r="293">
      <c r="A293" s="5" t="n"/>
      <c r="B293" s="5" t="n"/>
      <c r="C293" s="5" t="n"/>
      <c r="D293" s="6" t="n"/>
      <c r="E293" s="5" t="n"/>
      <c r="F293" s="5" t="n"/>
    </row>
    <row r="294">
      <c r="A294" s="5" t="n"/>
      <c r="B294" s="5" t="n"/>
      <c r="C294" s="5" t="n"/>
      <c r="D294" s="6" t="n"/>
      <c r="E294" s="5" t="n"/>
      <c r="F294" s="5" t="n"/>
    </row>
    <row r="295">
      <c r="A295" s="5" t="n"/>
      <c r="B295" s="5" t="n"/>
      <c r="C295" s="5" t="n"/>
      <c r="D295" s="6" t="n"/>
      <c r="E295" s="5" t="n"/>
      <c r="F295" s="5" t="n"/>
    </row>
    <row r="296">
      <c r="A296" s="5" t="n"/>
      <c r="B296" s="5" t="n"/>
      <c r="C296" s="5" t="n"/>
      <c r="D296" s="6" t="n"/>
      <c r="E296" s="5" t="n"/>
      <c r="F296" s="5" t="n"/>
    </row>
    <row r="297">
      <c r="A297" s="5" t="n"/>
      <c r="B297" s="5" t="n"/>
      <c r="C297" s="5" t="n"/>
      <c r="D297" s="6" t="n"/>
      <c r="E297" s="5" t="n"/>
      <c r="F297" s="5" t="n"/>
    </row>
    <row r="298">
      <c r="A298" s="5" t="n"/>
      <c r="B298" s="5" t="n"/>
      <c r="C298" s="5" t="n"/>
      <c r="D298" s="6" t="n"/>
      <c r="E298" s="5" t="n"/>
      <c r="F298" s="5" t="n"/>
    </row>
    <row r="299">
      <c r="A299" s="5" t="n"/>
      <c r="B299" s="5" t="n"/>
      <c r="C299" s="5" t="n"/>
      <c r="D299" s="6" t="n"/>
      <c r="E299" s="5" t="n"/>
      <c r="F299" s="5" t="n"/>
    </row>
    <row r="300">
      <c r="A300" s="5" t="n"/>
      <c r="B300" s="5" t="n"/>
      <c r="C300" s="5" t="n"/>
      <c r="D300" s="6" t="n"/>
      <c r="E300" s="5" t="n"/>
      <c r="F300" s="5" t="n"/>
    </row>
    <row r="301">
      <c r="A301" s="5" t="n"/>
      <c r="B301" s="5" t="n"/>
      <c r="C301" s="5" t="n"/>
      <c r="D301" s="6" t="n"/>
      <c r="E301" s="5" t="n"/>
      <c r="F301" s="5" t="n"/>
    </row>
    <row r="302">
      <c r="A302" s="5" t="n"/>
      <c r="B302" s="5" t="n"/>
      <c r="C302" s="5" t="n"/>
      <c r="D302" s="6" t="n"/>
      <c r="E302" s="5" t="n"/>
      <c r="F302" s="5" t="n"/>
    </row>
    <row r="303">
      <c r="A303" s="5" t="n"/>
      <c r="B303" s="5" t="n"/>
      <c r="C303" s="5" t="n"/>
      <c r="D303" s="6" t="n"/>
      <c r="E303" s="5" t="n"/>
      <c r="F303" s="5" t="n"/>
    </row>
    <row r="304">
      <c r="A304" s="5" t="n"/>
      <c r="B304" s="5" t="n"/>
      <c r="C304" s="5" t="n"/>
      <c r="D304" s="6" t="n"/>
      <c r="E304" s="5" t="n"/>
      <c r="F304" s="5" t="n"/>
    </row>
    <row r="305">
      <c r="A305" s="5" t="n"/>
      <c r="B305" s="5" t="n"/>
      <c r="C305" s="5" t="n"/>
      <c r="D305" s="6" t="n"/>
      <c r="E305" s="5" t="n"/>
      <c r="F305" s="5" t="n"/>
    </row>
    <row r="306">
      <c r="A306" s="5" t="n"/>
      <c r="B306" s="5" t="n"/>
      <c r="C306" s="5" t="n"/>
      <c r="D306" s="6" t="n"/>
      <c r="E306" s="5" t="n"/>
      <c r="F306" s="5" t="n"/>
    </row>
    <row r="307">
      <c r="A307" s="5" t="n"/>
      <c r="B307" s="5" t="n"/>
      <c r="C307" s="5" t="n"/>
      <c r="D307" s="6" t="n"/>
      <c r="E307" s="5" t="n"/>
      <c r="F307" s="5" t="n"/>
    </row>
    <row r="308">
      <c r="A308" s="5" t="n"/>
      <c r="B308" s="5" t="n"/>
      <c r="C308" s="5" t="n"/>
      <c r="D308" s="6" t="n"/>
      <c r="E308" s="5" t="n"/>
      <c r="F308" s="5" t="n"/>
    </row>
    <row r="309">
      <c r="A309" s="5" t="n"/>
      <c r="B309" s="5" t="n"/>
      <c r="C309" s="5" t="n"/>
      <c r="D309" s="6" t="n"/>
      <c r="E309" s="5" t="n"/>
      <c r="F309" s="5" t="n"/>
    </row>
    <row r="310">
      <c r="A310" s="5" t="n"/>
      <c r="B310" s="5" t="n"/>
      <c r="C310" s="5" t="n"/>
      <c r="D310" s="6" t="n"/>
      <c r="E310" s="5" t="n"/>
      <c r="F310" s="5" t="n"/>
    </row>
    <row r="311">
      <c r="A311" s="5" t="n"/>
      <c r="B311" s="5" t="n"/>
      <c r="C311" s="5" t="n"/>
      <c r="D311" s="6" t="n"/>
      <c r="E311" s="5" t="n"/>
      <c r="F311" s="5" t="n"/>
    </row>
    <row r="312">
      <c r="A312" s="5" t="n"/>
      <c r="B312" s="5" t="n"/>
      <c r="C312" s="5" t="n"/>
      <c r="D312" s="6" t="n"/>
      <c r="E312" s="5" t="n"/>
      <c r="F312" s="5" t="n"/>
    </row>
    <row r="313">
      <c r="A313" s="5" t="n"/>
      <c r="B313" s="5" t="n"/>
      <c r="C313" s="5" t="n"/>
      <c r="D313" s="6" t="n"/>
      <c r="E313" s="5" t="n"/>
      <c r="F313" s="5" t="n"/>
    </row>
    <row r="314">
      <c r="A314" s="5" t="n"/>
      <c r="B314" s="5" t="n"/>
      <c r="C314" s="5" t="n"/>
      <c r="D314" s="6" t="n"/>
      <c r="E314" s="5" t="n"/>
      <c r="F314" s="5" t="n"/>
    </row>
    <row r="315">
      <c r="A315" s="5" t="n"/>
      <c r="B315" s="5" t="n"/>
      <c r="C315" s="5" t="n"/>
      <c r="D315" s="6" t="n"/>
      <c r="E315" s="5" t="n"/>
      <c r="F315" s="5" t="n"/>
    </row>
    <row r="316">
      <c r="A316" s="5" t="n"/>
      <c r="B316" s="5" t="n"/>
      <c r="C316" s="5" t="n"/>
      <c r="D316" s="6" t="n"/>
      <c r="E316" s="5" t="n"/>
      <c r="F316" s="5" t="n"/>
    </row>
    <row r="317">
      <c r="A317" s="5" t="n"/>
      <c r="B317" s="5" t="n"/>
      <c r="C317" s="5" t="n"/>
      <c r="D317" s="6" t="n"/>
      <c r="E317" s="5" t="n"/>
      <c r="F317" s="5" t="n"/>
    </row>
    <row r="318">
      <c r="A318" s="5" t="n"/>
      <c r="B318" s="5" t="n"/>
      <c r="C318" s="5" t="n"/>
      <c r="D318" s="6" t="n"/>
      <c r="E318" s="5" t="n"/>
      <c r="F318" s="5" t="n"/>
    </row>
    <row r="319">
      <c r="A319" s="5" t="n"/>
      <c r="B319" s="5" t="n"/>
      <c r="C319" s="5" t="n"/>
      <c r="D319" s="6" t="n"/>
      <c r="E319" s="5" t="n"/>
      <c r="F319" s="5" t="n"/>
    </row>
    <row r="320">
      <c r="A320" s="5" t="n"/>
      <c r="B320" s="5" t="n"/>
      <c r="C320" s="5" t="n"/>
      <c r="D320" s="6" t="n"/>
      <c r="E320" s="5" t="n"/>
      <c r="F320" s="5" t="n"/>
    </row>
    <row r="321">
      <c r="A321" s="5" t="n"/>
      <c r="B321" s="5" t="n"/>
      <c r="C321" s="5" t="n"/>
      <c r="D321" s="6" t="n"/>
      <c r="E321" s="5" t="n"/>
      <c r="F321" s="5" t="n"/>
    </row>
    <row r="322">
      <c r="A322" s="5" t="n"/>
      <c r="B322" s="5" t="n"/>
      <c r="C322" s="5" t="n"/>
      <c r="D322" s="6" t="n"/>
      <c r="E322" s="5" t="n"/>
      <c r="F322" s="5" t="n"/>
    </row>
    <row r="323">
      <c r="A323" s="5" t="n"/>
      <c r="B323" s="5" t="n"/>
      <c r="C323" s="5" t="n"/>
      <c r="D323" s="6" t="n"/>
      <c r="E323" s="5" t="n"/>
      <c r="F323" s="5" t="n"/>
    </row>
    <row r="324">
      <c r="A324" s="5" t="n"/>
      <c r="B324" s="5" t="n"/>
      <c r="C324" s="5" t="n"/>
      <c r="D324" s="6" t="n"/>
      <c r="E324" s="5" t="n"/>
      <c r="F324" s="5" t="n"/>
    </row>
    <row r="325">
      <c r="A325" s="5" t="n"/>
      <c r="B325" s="5" t="n"/>
      <c r="C325" s="5" t="n"/>
      <c r="D325" s="6" t="n"/>
      <c r="E325" s="5" t="n"/>
      <c r="F325" s="5" t="n"/>
    </row>
    <row r="326">
      <c r="A326" s="5" t="n"/>
      <c r="B326" s="5" t="n"/>
      <c r="C326" s="5" t="n"/>
      <c r="D326" s="6" t="n"/>
      <c r="E326" s="5" t="n"/>
      <c r="F326" s="5" t="n"/>
    </row>
    <row r="327">
      <c r="A327" s="5" t="n"/>
      <c r="B327" s="5" t="n"/>
      <c r="C327" s="5" t="n"/>
      <c r="D327" s="6" t="n"/>
      <c r="E327" s="5" t="n"/>
      <c r="F327" s="5" t="n"/>
    </row>
    <row r="328">
      <c r="A328" s="5" t="n"/>
      <c r="B328" s="5" t="n"/>
      <c r="C328" s="5" t="n"/>
      <c r="D328" s="6" t="n"/>
      <c r="E328" s="5" t="n"/>
      <c r="F328" s="5" t="n"/>
    </row>
    <row r="329">
      <c r="A329" s="5" t="n"/>
      <c r="B329" s="5" t="n"/>
      <c r="C329" s="5" t="n"/>
      <c r="D329" s="6" t="n"/>
      <c r="E329" s="5" t="n"/>
      <c r="F329" s="5" t="n"/>
    </row>
    <row r="330">
      <c r="A330" s="5" t="n"/>
      <c r="B330" s="5" t="n"/>
      <c r="C330" s="5" t="n"/>
      <c r="D330" s="6" t="n"/>
      <c r="E330" s="5" t="n"/>
      <c r="F330" s="5" t="n"/>
    </row>
    <row r="331">
      <c r="A331" s="5" t="n"/>
      <c r="B331" s="5" t="n"/>
      <c r="C331" s="5" t="n"/>
      <c r="D331" s="6" t="n"/>
      <c r="E331" s="5" t="n"/>
      <c r="F331" s="5" t="n"/>
    </row>
    <row r="332">
      <c r="A332" s="5" t="n"/>
      <c r="B332" s="5" t="n"/>
      <c r="C332" s="5" t="n"/>
      <c r="D332" s="6" t="n"/>
      <c r="E332" s="5" t="n"/>
      <c r="F332" s="5" t="n"/>
    </row>
    <row r="333">
      <c r="A333" s="5" t="n"/>
      <c r="B333" s="5" t="n"/>
      <c r="C333" s="5" t="n"/>
      <c r="D333" s="6" t="n"/>
      <c r="E333" s="5" t="n"/>
      <c r="F333" s="5" t="n"/>
    </row>
    <row r="334">
      <c r="A334" s="5" t="n"/>
      <c r="B334" s="5" t="n"/>
      <c r="C334" s="5" t="n"/>
      <c r="D334" s="6" t="n"/>
      <c r="E334" s="5" t="n"/>
      <c r="F334" s="5" t="n"/>
    </row>
    <row r="335">
      <c r="A335" s="5" t="n"/>
      <c r="B335" s="5" t="n"/>
      <c r="C335" s="5" t="n"/>
      <c r="D335" s="6" t="n"/>
      <c r="E335" s="5" t="n"/>
      <c r="F335" s="5" t="n"/>
    </row>
    <row r="336">
      <c r="A336" s="5" t="n"/>
      <c r="B336" s="5" t="n"/>
      <c r="C336" s="5" t="n"/>
      <c r="D336" s="6" t="n"/>
      <c r="E336" s="5" t="n"/>
      <c r="F336" s="5" t="n"/>
    </row>
    <row r="337">
      <c r="A337" s="5" t="n"/>
      <c r="B337" s="5" t="n"/>
      <c r="C337" s="5" t="n"/>
      <c r="D337" s="6" t="n"/>
      <c r="E337" s="5" t="n"/>
      <c r="F337" s="5" t="n"/>
    </row>
    <row r="338">
      <c r="A338" s="5" t="n"/>
      <c r="B338" s="5" t="n"/>
      <c r="C338" s="5" t="n"/>
      <c r="D338" s="6" t="n"/>
      <c r="E338" s="5" t="n"/>
      <c r="F338" s="5" t="n"/>
    </row>
    <row r="339">
      <c r="A339" s="5" t="n"/>
      <c r="B339" s="5" t="n"/>
      <c r="C339" s="5" t="n"/>
      <c r="D339" s="6" t="n"/>
      <c r="E339" s="5" t="n"/>
      <c r="F339" s="5" t="n"/>
    </row>
    <row r="340">
      <c r="A340" s="5" t="n"/>
      <c r="B340" s="5" t="n"/>
      <c r="C340" s="5" t="n"/>
      <c r="D340" s="6" t="n"/>
      <c r="E340" s="5" t="n"/>
      <c r="F340" s="5" t="n"/>
    </row>
    <row r="341">
      <c r="A341" s="5" t="n"/>
      <c r="B341" s="5" t="n"/>
      <c r="C341" s="5" t="n"/>
      <c r="D341" s="6" t="n"/>
      <c r="E341" s="5" t="n"/>
      <c r="F341" s="5" t="n"/>
    </row>
    <row r="342">
      <c r="A342" s="5" t="n"/>
      <c r="B342" s="5" t="n"/>
      <c r="C342" s="5" t="n"/>
      <c r="D342" s="6" t="n"/>
      <c r="E342" s="5" t="n"/>
      <c r="F342" s="5" t="n"/>
    </row>
    <row r="343">
      <c r="A343" s="5" t="n"/>
      <c r="B343" s="5" t="n"/>
      <c r="C343" s="5" t="n"/>
      <c r="D343" s="6" t="n"/>
      <c r="E343" s="5" t="n"/>
      <c r="F343" s="5" t="n"/>
    </row>
    <row r="344">
      <c r="A344" s="5" t="n"/>
      <c r="B344" s="5" t="n"/>
      <c r="C344" s="5" t="n"/>
      <c r="D344" s="6" t="n"/>
      <c r="E344" s="5" t="n"/>
      <c r="F344" s="5" t="n"/>
    </row>
    <row r="345">
      <c r="A345" s="5" t="n"/>
      <c r="B345" s="5" t="n"/>
      <c r="C345" s="5" t="n"/>
      <c r="D345" s="6" t="n"/>
      <c r="E345" s="5" t="n"/>
      <c r="F345" s="5" t="n"/>
    </row>
    <row r="346">
      <c r="A346" s="5" t="n"/>
      <c r="B346" s="5" t="n"/>
      <c r="C346" s="5" t="n"/>
      <c r="D346" s="6" t="n"/>
      <c r="E346" s="5" t="n"/>
      <c r="F346" s="5" t="n"/>
    </row>
    <row r="347">
      <c r="A347" s="5" t="n"/>
      <c r="B347" s="5" t="n"/>
      <c r="C347" s="5" t="n"/>
      <c r="D347" s="6" t="n"/>
      <c r="E347" s="5" t="n"/>
      <c r="F347" s="5" t="n"/>
    </row>
    <row r="348">
      <c r="A348" s="5" t="n"/>
      <c r="B348" s="5" t="n"/>
      <c r="C348" s="5" t="n"/>
      <c r="D348" s="6" t="n"/>
      <c r="E348" s="5" t="n"/>
      <c r="F348" s="5" t="n"/>
    </row>
    <row r="349">
      <c r="A349" s="5" t="n"/>
      <c r="B349" s="5" t="n"/>
      <c r="C349" s="5" t="n"/>
      <c r="D349" s="6" t="n"/>
      <c r="E349" s="5" t="n"/>
      <c r="F349" s="5" t="n"/>
    </row>
    <row r="350">
      <c r="A350" s="5" t="n"/>
      <c r="B350" s="5" t="n"/>
      <c r="C350" s="5" t="n"/>
      <c r="D350" s="6" t="n"/>
      <c r="E350" s="5" t="n"/>
      <c r="F350" s="5" t="n"/>
    </row>
    <row r="351">
      <c r="A351" s="5" t="n"/>
      <c r="B351" s="5" t="n"/>
      <c r="C351" s="5" t="n"/>
      <c r="D351" s="6" t="n"/>
      <c r="E351" s="5" t="n"/>
      <c r="F351" s="5" t="n"/>
    </row>
    <row r="352">
      <c r="A352" s="5" t="n"/>
      <c r="B352" s="5" t="n"/>
      <c r="C352" s="5" t="n"/>
      <c r="D352" s="6" t="n"/>
      <c r="E352" s="5" t="n"/>
      <c r="F352" s="5" t="n"/>
    </row>
    <row r="353">
      <c r="A353" s="5" t="n"/>
      <c r="B353" s="5" t="n"/>
      <c r="C353" s="5" t="n"/>
      <c r="D353" s="6" t="n"/>
      <c r="E353" s="5" t="n"/>
      <c r="F353" s="5" t="n"/>
    </row>
    <row r="354">
      <c r="A354" s="5" t="n"/>
      <c r="B354" s="5" t="n"/>
      <c r="C354" s="5" t="n"/>
      <c r="D354" s="6" t="n"/>
      <c r="E354" s="5" t="n"/>
      <c r="F354" s="5" t="n"/>
    </row>
    <row r="355">
      <c r="A355" s="5" t="n"/>
      <c r="B355" s="5" t="n"/>
      <c r="C355" s="5" t="n"/>
      <c r="D355" s="6" t="n"/>
      <c r="E355" s="5" t="n"/>
      <c r="F355" s="5" t="n"/>
    </row>
    <row r="356">
      <c r="A356" s="5" t="n"/>
      <c r="B356" s="5" t="n"/>
      <c r="C356" s="5" t="n"/>
      <c r="D356" s="6" t="n"/>
      <c r="E356" s="5" t="n"/>
      <c r="F356" s="5" t="n"/>
    </row>
    <row r="357">
      <c r="A357" s="5" t="n"/>
      <c r="B357" s="5" t="n"/>
      <c r="C357" s="5" t="n"/>
      <c r="D357" s="6" t="n"/>
      <c r="E357" s="5" t="n"/>
      <c r="F357" s="5" t="n"/>
    </row>
    <row r="358">
      <c r="A358" s="5" t="n"/>
      <c r="B358" s="5" t="n"/>
      <c r="C358" s="5" t="n"/>
      <c r="D358" s="6" t="n"/>
      <c r="E358" s="5" t="n"/>
      <c r="F358" s="5" t="n"/>
    </row>
    <row r="359">
      <c r="A359" s="5" t="n"/>
      <c r="B359" s="5" t="n"/>
      <c r="C359" s="5" t="n"/>
      <c r="D359" s="6" t="n"/>
      <c r="E359" s="5" t="n"/>
      <c r="F359" s="5" t="n"/>
    </row>
    <row r="360">
      <c r="A360" s="5" t="n"/>
      <c r="B360" s="5" t="n"/>
      <c r="C360" s="5" t="n"/>
      <c r="D360" s="6" t="n"/>
      <c r="E360" s="5" t="n"/>
      <c r="F360" s="5" t="n"/>
    </row>
    <row r="361">
      <c r="A361" s="5" t="n"/>
      <c r="B361" s="5" t="n"/>
      <c r="C361" s="5" t="n"/>
      <c r="D361" s="6" t="n"/>
      <c r="E361" s="5" t="n"/>
      <c r="F361" s="5" t="n"/>
    </row>
    <row r="362">
      <c r="A362" s="5" t="n"/>
      <c r="B362" s="5" t="n"/>
      <c r="C362" s="5" t="n"/>
      <c r="D362" s="6" t="n"/>
      <c r="E362" s="5" t="n"/>
      <c r="F362" s="5" t="n"/>
    </row>
    <row r="363">
      <c r="A363" s="5" t="n"/>
      <c r="B363" s="5" t="n"/>
      <c r="C363" s="5" t="n"/>
      <c r="D363" s="6" t="n"/>
      <c r="E363" s="5" t="n"/>
      <c r="F363" s="5" t="n"/>
    </row>
    <row r="364">
      <c r="A364" s="5" t="n"/>
      <c r="B364" s="5" t="n"/>
      <c r="C364" s="5" t="n"/>
      <c r="D364" s="6" t="n"/>
      <c r="E364" s="5" t="n"/>
      <c r="F364" s="5" t="n"/>
    </row>
    <row r="365">
      <c r="A365" s="5" t="n"/>
      <c r="B365" s="5" t="n"/>
      <c r="C365" s="5" t="n"/>
      <c r="D365" s="6" t="n"/>
      <c r="E365" s="5" t="n"/>
      <c r="F365" s="5" t="n"/>
    </row>
    <row r="366">
      <c r="A366" s="5" t="n"/>
      <c r="B366" s="5" t="n"/>
      <c r="C366" s="5" t="n"/>
      <c r="D366" s="6" t="n"/>
      <c r="E366" s="5" t="n"/>
      <c r="F366" s="5" t="n"/>
    </row>
    <row r="367">
      <c r="A367" s="5" t="n"/>
      <c r="B367" s="5" t="n"/>
      <c r="C367" s="5" t="n"/>
      <c r="D367" s="6" t="n"/>
      <c r="E367" s="5" t="n"/>
      <c r="F367" s="5" t="n"/>
    </row>
    <row r="368">
      <c r="A368" s="5" t="n"/>
      <c r="B368" s="5" t="n"/>
      <c r="C368" s="5" t="n"/>
      <c r="D368" s="6" t="n"/>
      <c r="E368" s="5" t="n"/>
      <c r="F368" s="5" t="n"/>
    </row>
    <row r="369">
      <c r="A369" s="5" t="n"/>
      <c r="B369" s="5" t="n"/>
      <c r="C369" s="5" t="n"/>
      <c r="D369" s="6" t="n"/>
      <c r="E369" s="5" t="n"/>
      <c r="F369" s="5" t="n"/>
    </row>
    <row r="370">
      <c r="A370" s="5" t="n"/>
      <c r="B370" s="5" t="n"/>
      <c r="C370" s="5" t="n"/>
      <c r="D370" s="6" t="n"/>
      <c r="E370" s="5" t="n"/>
      <c r="F370" s="5" t="n"/>
    </row>
    <row r="371">
      <c r="A371" s="5" t="n"/>
      <c r="B371" s="5" t="n"/>
      <c r="C371" s="5" t="n"/>
      <c r="D371" s="6" t="n"/>
      <c r="E371" s="5" t="n"/>
      <c r="F371" s="5" t="n"/>
    </row>
    <row r="372">
      <c r="A372" s="5" t="n"/>
      <c r="B372" s="5" t="n"/>
      <c r="C372" s="5" t="n"/>
      <c r="D372" s="6" t="n"/>
      <c r="E372" s="5" t="n"/>
      <c r="F372" s="5" t="n"/>
    </row>
    <row r="373">
      <c r="A373" s="5" t="n"/>
      <c r="B373" s="5" t="n"/>
      <c r="C373" s="5" t="n"/>
      <c r="D373" s="6" t="n"/>
      <c r="E373" s="5" t="n"/>
      <c r="F373" s="5" t="n"/>
    </row>
    <row r="374">
      <c r="A374" s="5" t="n"/>
      <c r="B374" s="5" t="n"/>
      <c r="C374" s="5" t="n"/>
      <c r="D374" s="6" t="n"/>
      <c r="E374" s="5" t="n"/>
      <c r="F374" s="5" t="n"/>
    </row>
    <row r="375">
      <c r="A375" s="5" t="n"/>
      <c r="B375" s="5" t="n"/>
      <c r="C375" s="5" t="n"/>
      <c r="D375" s="6" t="n"/>
      <c r="E375" s="5" t="n"/>
      <c r="F375" s="5" t="n"/>
    </row>
    <row r="376">
      <c r="A376" s="5" t="n"/>
      <c r="B376" s="5" t="n"/>
      <c r="C376" s="5" t="n"/>
      <c r="D376" s="6" t="n"/>
      <c r="E376" s="5" t="n"/>
      <c r="F376" s="5" t="n"/>
    </row>
    <row r="377">
      <c r="A377" s="5" t="n"/>
      <c r="B377" s="5" t="n"/>
      <c r="C377" s="5" t="n"/>
      <c r="D377" s="6" t="n"/>
      <c r="E377" s="5" t="n"/>
      <c r="F377" s="5" t="n"/>
    </row>
    <row r="378">
      <c r="A378" s="5" t="n"/>
      <c r="B378" s="5" t="n"/>
      <c r="C378" s="5" t="n"/>
      <c r="D378" s="6" t="n"/>
      <c r="E378" s="5" t="n"/>
      <c r="F378" s="5" t="n"/>
    </row>
    <row r="379">
      <c r="A379" s="5" t="n"/>
      <c r="B379" s="5" t="n"/>
      <c r="C379" s="5" t="n"/>
      <c r="D379" s="6" t="n"/>
      <c r="E379" s="5" t="n"/>
      <c r="F379" s="5" t="n"/>
    </row>
    <row r="380">
      <c r="A380" s="5" t="n"/>
      <c r="B380" s="5" t="n"/>
      <c r="C380" s="5" t="n"/>
      <c r="D380" s="6" t="n"/>
      <c r="E380" s="5" t="n"/>
      <c r="F380" s="5" t="n"/>
    </row>
    <row r="381">
      <c r="A381" s="5" t="n"/>
      <c r="B381" s="5" t="n"/>
      <c r="C381" s="5" t="n"/>
      <c r="D381" s="6" t="n"/>
      <c r="E381" s="5" t="n"/>
      <c r="F381" s="5" t="n"/>
    </row>
    <row r="382">
      <c r="A382" s="5" t="n"/>
      <c r="B382" s="5" t="n"/>
      <c r="C382" s="5" t="n"/>
      <c r="D382" s="6" t="n"/>
      <c r="E382" s="5" t="n"/>
      <c r="F382" s="5" t="n"/>
    </row>
    <row r="383">
      <c r="A383" s="5" t="n"/>
      <c r="B383" s="5" t="n"/>
      <c r="C383" s="5" t="n"/>
      <c r="D383" s="6" t="n"/>
      <c r="E383" s="5" t="n"/>
      <c r="F383" s="5" t="n"/>
    </row>
    <row r="384">
      <c r="A384" s="5" t="n"/>
      <c r="B384" s="5" t="n"/>
      <c r="C384" s="5" t="n"/>
      <c r="D384" s="6" t="n"/>
      <c r="E384" s="5" t="n"/>
      <c r="F384" s="5" t="n"/>
    </row>
    <row r="385">
      <c r="A385" s="5" t="n"/>
      <c r="B385" s="5" t="n"/>
      <c r="C385" s="5" t="n"/>
      <c r="D385" s="6" t="n"/>
      <c r="E385" s="5" t="n"/>
      <c r="F385" s="5" t="n"/>
    </row>
    <row r="386">
      <c r="A386" s="5" t="n"/>
      <c r="B386" s="5" t="n"/>
      <c r="C386" s="5" t="n"/>
      <c r="D386" s="6" t="n"/>
      <c r="E386" s="5" t="n"/>
      <c r="F386" s="5" t="n"/>
    </row>
    <row r="387">
      <c r="A387" s="5" t="n"/>
      <c r="B387" s="5" t="n"/>
      <c r="C387" s="5" t="n"/>
      <c r="D387" s="6" t="n"/>
      <c r="E387" s="5" t="n"/>
      <c r="F387" s="5" t="n"/>
    </row>
    <row r="388">
      <c r="A388" s="5" t="n"/>
      <c r="B388" s="5" t="n"/>
      <c r="C388" s="5" t="n"/>
      <c r="D388" s="6" t="n"/>
      <c r="E388" s="5" t="n"/>
      <c r="F388" s="5" t="n"/>
    </row>
    <row r="389">
      <c r="A389" s="5" t="n"/>
      <c r="B389" s="5" t="n"/>
      <c r="C389" s="5" t="n"/>
      <c r="D389" s="6" t="n"/>
      <c r="E389" s="5" t="n"/>
      <c r="F389" s="5" t="n"/>
    </row>
    <row r="390">
      <c r="A390" s="5" t="n"/>
      <c r="B390" s="5" t="n"/>
      <c r="C390" s="5" t="n"/>
      <c r="D390" s="6" t="n"/>
      <c r="E390" s="5" t="n"/>
      <c r="F390" s="5" t="n"/>
    </row>
    <row r="391">
      <c r="A391" s="5" t="n"/>
      <c r="B391" s="5" t="n"/>
      <c r="C391" s="5" t="n"/>
      <c r="D391" s="6" t="n"/>
      <c r="E391" s="5" t="n"/>
      <c r="F391" s="5" t="n"/>
    </row>
    <row r="392">
      <c r="A392" s="5" t="n"/>
      <c r="B392" s="5" t="n"/>
      <c r="C392" s="5" t="n"/>
      <c r="D392" s="6" t="n"/>
      <c r="E392" s="5" t="n"/>
      <c r="F392" s="5" t="n"/>
    </row>
    <row r="393">
      <c r="A393" s="5" t="n"/>
      <c r="B393" s="5" t="n"/>
      <c r="C393" s="5" t="n"/>
      <c r="D393" s="6" t="n"/>
      <c r="E393" s="5" t="n"/>
      <c r="F393" s="5" t="n"/>
    </row>
    <row r="394">
      <c r="A394" s="5" t="n"/>
      <c r="B394" s="5" t="n"/>
      <c r="C394" s="5" t="n"/>
      <c r="D394" s="6" t="n"/>
      <c r="E394" s="5" t="n"/>
      <c r="F394" s="5" t="n"/>
    </row>
    <row r="395">
      <c r="A395" s="5" t="n"/>
      <c r="B395" s="5" t="n"/>
      <c r="C395" s="5" t="n"/>
      <c r="D395" s="6" t="n"/>
      <c r="E395" s="5" t="n"/>
      <c r="F395" s="5" t="n"/>
    </row>
    <row r="396">
      <c r="A396" s="5" t="n"/>
      <c r="B396" s="5" t="n"/>
      <c r="C396" s="5" t="n"/>
      <c r="D396" s="6" t="n"/>
      <c r="E396" s="5" t="n"/>
      <c r="F396" s="5" t="n"/>
    </row>
    <row r="397">
      <c r="A397" s="5" t="n"/>
      <c r="B397" s="5" t="n"/>
      <c r="C397" s="5" t="n"/>
      <c r="D397" s="6" t="n"/>
      <c r="E397" s="5" t="n"/>
      <c r="F397" s="5" t="n"/>
    </row>
    <row r="398">
      <c r="A398" s="5" t="n"/>
      <c r="B398" s="5" t="n"/>
      <c r="C398" s="5" t="n"/>
      <c r="D398" s="6" t="n"/>
      <c r="E398" s="5" t="n"/>
      <c r="F398" s="5" t="n"/>
    </row>
    <row r="399">
      <c r="A399" s="5" t="n"/>
      <c r="B399" s="5" t="n"/>
      <c r="C399" s="5" t="n"/>
      <c r="D399" s="6" t="n"/>
      <c r="E399" s="5" t="n"/>
      <c r="F399" s="5" t="n"/>
    </row>
    <row r="400">
      <c r="A400" s="5" t="n"/>
      <c r="B400" s="5" t="n"/>
      <c r="C400" s="5" t="n"/>
      <c r="D400" s="6" t="n"/>
      <c r="E400" s="5" t="n"/>
      <c r="F400" s="5" t="n"/>
    </row>
    <row r="401">
      <c r="A401" s="5" t="n"/>
      <c r="B401" s="5" t="n"/>
      <c r="C401" s="5" t="n"/>
      <c r="D401" s="6" t="n"/>
      <c r="E401" s="5" t="n"/>
      <c r="F401" s="5" t="n"/>
    </row>
    <row r="402">
      <c r="A402" s="5" t="n"/>
      <c r="B402" s="5" t="n"/>
      <c r="C402" s="5" t="n"/>
      <c r="D402" s="6" t="n"/>
      <c r="E402" s="5" t="n"/>
      <c r="F402" s="5" t="n"/>
    </row>
    <row r="403">
      <c r="A403" s="5" t="n"/>
      <c r="B403" s="5" t="n"/>
      <c r="C403" s="5" t="n"/>
      <c r="D403" s="6" t="n"/>
      <c r="E403" s="5" t="n"/>
      <c r="F403" s="5" t="n"/>
    </row>
    <row r="404">
      <c r="A404" s="5" t="n"/>
      <c r="B404" s="5" t="n"/>
      <c r="C404" s="5" t="n"/>
      <c r="D404" s="6" t="n"/>
      <c r="E404" s="5" t="n"/>
      <c r="F404" s="5" t="n"/>
    </row>
    <row r="405">
      <c r="A405" s="5" t="n"/>
      <c r="B405" s="5" t="n"/>
      <c r="C405" s="5" t="n"/>
      <c r="D405" s="6" t="n"/>
      <c r="E405" s="5" t="n"/>
      <c r="F405" s="5" t="n"/>
    </row>
    <row r="406">
      <c r="A406" s="5" t="n"/>
      <c r="B406" s="5" t="n"/>
      <c r="C406" s="5" t="n"/>
      <c r="D406" s="6" t="n"/>
      <c r="E406" s="5" t="n"/>
      <c r="F406" s="5" t="n"/>
    </row>
    <row r="407">
      <c r="A407" s="5" t="n"/>
      <c r="B407" s="5" t="n"/>
      <c r="C407" s="5" t="n"/>
      <c r="D407" s="6" t="n"/>
      <c r="E407" s="5" t="n"/>
      <c r="F407" s="5" t="n"/>
    </row>
    <row r="408">
      <c r="A408" s="5" t="n"/>
      <c r="B408" s="5" t="n"/>
      <c r="C408" s="5" t="n"/>
      <c r="D408" s="6" t="n"/>
      <c r="E408" s="5" t="n"/>
      <c r="F408" s="5" t="n"/>
    </row>
    <row r="409">
      <c r="A409" s="5" t="n"/>
      <c r="B409" s="5" t="n"/>
      <c r="C409" s="5" t="n"/>
      <c r="D409" s="6" t="n"/>
      <c r="E409" s="5" t="n"/>
      <c r="F409" s="5" t="n"/>
    </row>
    <row r="410">
      <c r="A410" s="5" t="n"/>
      <c r="B410" s="5" t="n"/>
      <c r="C410" s="5" t="n"/>
      <c r="D410" s="6" t="n"/>
      <c r="E410" s="5" t="n"/>
      <c r="F410" s="5" t="n"/>
    </row>
    <row r="411">
      <c r="A411" s="5" t="n"/>
      <c r="B411" s="5" t="n"/>
      <c r="C411" s="5" t="n"/>
      <c r="D411" s="6" t="n"/>
      <c r="E411" s="5" t="n"/>
      <c r="F411" s="5" t="n"/>
    </row>
    <row r="412">
      <c r="A412" s="5" t="n"/>
      <c r="B412" s="5" t="n"/>
      <c r="C412" s="5" t="n"/>
      <c r="D412" s="6" t="n"/>
      <c r="E412" s="5" t="n"/>
      <c r="F412" s="5" t="n"/>
    </row>
    <row r="413">
      <c r="A413" s="5" t="n"/>
      <c r="B413" s="5" t="n"/>
      <c r="C413" s="5" t="n"/>
      <c r="D413" s="6" t="n"/>
      <c r="E413" s="5" t="n"/>
      <c r="F413" s="5" t="n"/>
    </row>
    <row r="414">
      <c r="A414" s="5" t="n"/>
      <c r="B414" s="5" t="n"/>
      <c r="C414" s="5" t="n"/>
      <c r="D414" s="6" t="n"/>
      <c r="E414" s="5" t="n"/>
      <c r="F414" s="5" t="n"/>
    </row>
    <row r="415">
      <c r="A415" s="5" t="n"/>
      <c r="B415" s="5" t="n"/>
      <c r="C415" s="5" t="n"/>
      <c r="D415" s="6" t="n"/>
      <c r="E415" s="5" t="n"/>
      <c r="F415" s="5" t="n"/>
    </row>
    <row r="416">
      <c r="A416" s="5" t="n"/>
      <c r="B416" s="5" t="n"/>
      <c r="C416" s="5" t="n"/>
      <c r="D416" s="6" t="n"/>
      <c r="E416" s="5" t="n"/>
      <c r="F416" s="5" t="n"/>
    </row>
    <row r="417">
      <c r="A417" s="5" t="n"/>
      <c r="B417" s="5" t="n"/>
      <c r="C417" s="5" t="n"/>
      <c r="D417" s="6" t="n"/>
      <c r="E417" s="5" t="n"/>
      <c r="F417" s="5" t="n"/>
    </row>
    <row r="418">
      <c r="A418" s="5" t="n"/>
      <c r="B418" s="5" t="n"/>
      <c r="C418" s="5" t="n"/>
      <c r="D418" s="6" t="n"/>
      <c r="E418" s="5" t="n"/>
      <c r="F418" s="5" t="n"/>
    </row>
    <row r="419">
      <c r="A419" s="5" t="n"/>
      <c r="B419" s="5" t="n"/>
      <c r="C419" s="5" t="n"/>
      <c r="D419" s="6" t="n"/>
      <c r="E419" s="5" t="n"/>
      <c r="F419" s="5" t="n"/>
    </row>
    <row r="420">
      <c r="A420" s="5" t="n"/>
      <c r="B420" s="5" t="n"/>
      <c r="C420" s="5" t="n"/>
      <c r="D420" s="6" t="n"/>
      <c r="E420" s="5" t="n"/>
      <c r="F420" s="5" t="n"/>
    </row>
    <row r="421">
      <c r="A421" s="5" t="n"/>
      <c r="B421" s="5" t="n"/>
      <c r="C421" s="5" t="n"/>
      <c r="D421" s="6" t="n"/>
      <c r="E421" s="5" t="n"/>
      <c r="F421" s="5" t="n"/>
    </row>
    <row r="422">
      <c r="A422" s="5" t="n"/>
      <c r="B422" s="5" t="n"/>
      <c r="C422" s="5" t="n"/>
      <c r="D422" s="6" t="n"/>
      <c r="E422" s="5" t="n"/>
      <c r="F422" s="5" t="n"/>
    </row>
    <row r="423">
      <c r="A423" s="5" t="n"/>
      <c r="B423" s="5" t="n"/>
      <c r="C423" s="5" t="n"/>
      <c r="D423" s="6" t="n"/>
      <c r="E423" s="5" t="n"/>
      <c r="F423" s="5" t="n"/>
    </row>
    <row r="424">
      <c r="A424" s="5" t="n"/>
      <c r="B424" s="5" t="n"/>
      <c r="C424" s="5" t="n"/>
      <c r="D424" s="6" t="n"/>
      <c r="E424" s="5" t="n"/>
      <c r="F424" s="5" t="n"/>
    </row>
    <row r="425">
      <c r="A425" s="5" t="n"/>
      <c r="B425" s="5" t="n"/>
      <c r="C425" s="5" t="n"/>
      <c r="D425" s="6" t="n"/>
      <c r="E425" s="5" t="n"/>
      <c r="F425" s="5" t="n"/>
    </row>
    <row r="426">
      <c r="A426" s="5" t="n"/>
      <c r="B426" s="5" t="n"/>
      <c r="C426" s="5" t="n"/>
      <c r="D426" s="6" t="n"/>
      <c r="E426" s="5" t="n"/>
      <c r="F426" s="5" t="n"/>
    </row>
    <row r="427">
      <c r="A427" s="5" t="n"/>
      <c r="B427" s="5" t="n"/>
      <c r="C427" s="5" t="n"/>
      <c r="D427" s="6" t="n"/>
      <c r="E427" s="5" t="n"/>
      <c r="F427" s="5" t="n"/>
    </row>
    <row r="428">
      <c r="A428" s="5" t="n"/>
      <c r="B428" s="5" t="n"/>
      <c r="C428" s="5" t="n"/>
      <c r="D428" s="6" t="n"/>
      <c r="E428" s="5" t="n"/>
      <c r="F428" s="5" t="n"/>
    </row>
    <row r="429">
      <c r="A429" s="5" t="n"/>
      <c r="B429" s="5" t="n"/>
      <c r="C429" s="5" t="n"/>
      <c r="D429" s="6" t="n"/>
      <c r="E429" s="5" t="n"/>
      <c r="F429" s="5" t="n"/>
    </row>
    <row r="430">
      <c r="A430" s="5" t="n"/>
      <c r="B430" s="5" t="n"/>
      <c r="C430" s="5" t="n"/>
      <c r="D430" s="6" t="n"/>
      <c r="E430" s="5" t="n"/>
      <c r="F430" s="5" t="n"/>
    </row>
    <row r="431">
      <c r="A431" s="5" t="n"/>
      <c r="B431" s="5" t="n"/>
      <c r="C431" s="5" t="n"/>
      <c r="D431" s="6" t="n"/>
      <c r="E431" s="5" t="n"/>
      <c r="F431" s="5" t="n"/>
    </row>
    <row r="432">
      <c r="A432" s="5" t="n"/>
      <c r="B432" s="5" t="n"/>
      <c r="C432" s="5" t="n"/>
      <c r="D432" s="6" t="n"/>
      <c r="E432" s="5" t="n"/>
      <c r="F432" s="5" t="n"/>
    </row>
    <row r="433">
      <c r="A433" s="5" t="n"/>
      <c r="B433" s="5" t="n"/>
      <c r="C433" s="5" t="n"/>
      <c r="D433" s="6" t="n"/>
      <c r="E433" s="5" t="n"/>
      <c r="F433" s="5" t="n"/>
    </row>
    <row r="434">
      <c r="A434" s="5" t="n"/>
      <c r="B434" s="5" t="n"/>
      <c r="C434" s="5" t="n"/>
      <c r="D434" s="6" t="n"/>
      <c r="E434" s="5" t="n"/>
      <c r="F434" s="5" t="n"/>
    </row>
    <row r="435">
      <c r="A435" s="5" t="n"/>
      <c r="B435" s="5" t="n"/>
      <c r="C435" s="5" t="n"/>
      <c r="D435" s="6" t="n"/>
      <c r="E435" s="5" t="n"/>
      <c r="F435" s="5" t="n"/>
    </row>
    <row r="436">
      <c r="A436" s="5" t="n"/>
      <c r="B436" s="5" t="n"/>
      <c r="C436" s="5" t="n"/>
      <c r="D436" s="6" t="n"/>
      <c r="E436" s="5" t="n"/>
      <c r="F436" s="5" t="n"/>
    </row>
    <row r="437">
      <c r="A437" s="5" t="n"/>
      <c r="B437" s="5" t="n"/>
      <c r="C437" s="5" t="n"/>
      <c r="D437" s="6" t="n"/>
      <c r="E437" s="5" t="n"/>
      <c r="F437" s="5" t="n"/>
    </row>
    <row r="438">
      <c r="A438" s="5" t="n"/>
      <c r="B438" s="5" t="n"/>
      <c r="C438" s="5" t="n"/>
      <c r="D438" s="6" t="n"/>
      <c r="E438" s="5" t="n"/>
      <c r="F438" s="5" t="n"/>
    </row>
    <row r="439">
      <c r="A439" s="5" t="n"/>
      <c r="B439" s="5" t="n"/>
      <c r="C439" s="5" t="n"/>
      <c r="D439" s="6" t="n"/>
      <c r="E439" s="5" t="n"/>
      <c r="F439" s="5" t="n"/>
    </row>
    <row r="440">
      <c r="A440" s="5" t="n"/>
      <c r="B440" s="5" t="n"/>
      <c r="C440" s="5" t="n"/>
      <c r="D440" s="6" t="n"/>
      <c r="E440" s="5" t="n"/>
      <c r="F440" s="5" t="n"/>
    </row>
    <row r="441">
      <c r="A441" s="5" t="n"/>
      <c r="B441" s="5" t="n"/>
      <c r="C441" s="5" t="n"/>
      <c r="D441" s="6" t="n"/>
      <c r="E441" s="5" t="n"/>
      <c r="F441" s="5" t="n"/>
    </row>
    <row r="442">
      <c r="A442" s="5" t="n"/>
      <c r="B442" s="5" t="n"/>
      <c r="C442" s="5" t="n"/>
      <c r="D442" s="6" t="n"/>
      <c r="E442" s="5" t="n"/>
      <c r="F442" s="5" t="n"/>
    </row>
    <row r="443">
      <c r="A443" s="5" t="n"/>
      <c r="B443" s="5" t="n"/>
      <c r="C443" s="5" t="n"/>
      <c r="D443" s="6" t="n"/>
      <c r="E443" s="5" t="n"/>
      <c r="F443" s="5" t="n"/>
    </row>
    <row r="444">
      <c r="A444" s="5" t="n"/>
      <c r="B444" s="5" t="n"/>
      <c r="C444" s="5" t="n"/>
      <c r="D444" s="6" t="n"/>
      <c r="E444" s="5" t="n"/>
      <c r="F444" s="5" t="n"/>
    </row>
    <row r="445">
      <c r="A445" s="5" t="n"/>
      <c r="B445" s="5" t="n"/>
      <c r="C445" s="5" t="n"/>
      <c r="D445" s="6" t="n"/>
      <c r="E445" s="5" t="n"/>
      <c r="F445" s="5" t="n"/>
    </row>
    <row r="446">
      <c r="A446" s="5" t="n"/>
      <c r="B446" s="5" t="n"/>
      <c r="C446" s="5" t="n"/>
      <c r="D446" s="6" t="n"/>
      <c r="E446" s="5" t="n"/>
      <c r="F446" s="5" t="n"/>
    </row>
    <row r="447">
      <c r="A447" s="5" t="n"/>
      <c r="B447" s="5" t="n"/>
      <c r="C447" s="5" t="n"/>
      <c r="D447" s="6" t="n"/>
      <c r="E447" s="5" t="n"/>
      <c r="F447" s="5" t="n"/>
    </row>
    <row r="448">
      <c r="A448" s="5" t="n"/>
      <c r="B448" s="5" t="n"/>
      <c r="C448" s="5" t="n"/>
      <c r="D448" s="6" t="n"/>
      <c r="E448" s="5" t="n"/>
      <c r="F448" s="5" t="n"/>
    </row>
    <row r="449">
      <c r="A449" s="5" t="n"/>
      <c r="B449" s="5" t="n"/>
      <c r="C449" s="5" t="n"/>
      <c r="D449" s="6" t="n"/>
      <c r="E449" s="5" t="n"/>
      <c r="F449" s="5" t="n"/>
    </row>
    <row r="450">
      <c r="A450" s="5" t="n"/>
      <c r="B450" s="5" t="n"/>
      <c r="C450" s="5" t="n"/>
      <c r="D450" s="6" t="n"/>
      <c r="E450" s="5" t="n"/>
      <c r="F450" s="5" t="n"/>
    </row>
    <row r="451">
      <c r="A451" s="5" t="n"/>
      <c r="B451" s="5" t="n"/>
      <c r="C451" s="5" t="n"/>
      <c r="D451" s="6" t="n"/>
      <c r="E451" s="5" t="n"/>
      <c r="F451" s="5" t="n"/>
    </row>
    <row r="452">
      <c r="A452" s="5" t="n"/>
      <c r="B452" s="5" t="n"/>
      <c r="C452" s="5" t="n"/>
      <c r="D452" s="6" t="n"/>
      <c r="E452" s="5" t="n"/>
      <c r="F452" s="5" t="n"/>
    </row>
    <row r="453">
      <c r="A453" s="5" t="n"/>
      <c r="B453" s="5" t="n"/>
      <c r="C453" s="5" t="n"/>
      <c r="D453" s="6" t="n"/>
      <c r="E453" s="5" t="n"/>
      <c r="F453" s="5" t="n"/>
    </row>
    <row r="454">
      <c r="A454" s="5" t="n"/>
      <c r="B454" s="5" t="n"/>
      <c r="C454" s="5" t="n"/>
      <c r="D454" s="6" t="n"/>
      <c r="E454" s="5" t="n"/>
      <c r="F454" s="5" t="n"/>
    </row>
    <row r="455">
      <c r="A455" s="5" t="n"/>
      <c r="B455" s="5" t="n"/>
      <c r="C455" s="5" t="n"/>
      <c r="D455" s="6" t="n"/>
      <c r="E455" s="5" t="n"/>
      <c r="F455" s="5" t="n"/>
    </row>
    <row r="456">
      <c r="A456" s="5" t="n"/>
      <c r="B456" s="5" t="n"/>
      <c r="C456" s="5" t="n"/>
      <c r="D456" s="6" t="n"/>
      <c r="E456" s="5" t="n"/>
      <c r="F456" s="5" t="n"/>
    </row>
    <row r="457">
      <c r="A457" s="5" t="n"/>
      <c r="B457" s="5" t="n"/>
      <c r="C457" s="5" t="n"/>
      <c r="D457" s="6" t="n"/>
      <c r="E457" s="5" t="n"/>
      <c r="F457" s="5" t="n"/>
    </row>
    <row r="458">
      <c r="A458" s="5" t="n"/>
      <c r="B458" s="5" t="n"/>
      <c r="C458" s="5" t="n"/>
      <c r="D458" s="6" t="n"/>
      <c r="E458" s="5" t="n"/>
      <c r="F458" s="5" t="n"/>
    </row>
    <row r="459">
      <c r="A459" s="5" t="n"/>
      <c r="B459" s="5" t="n"/>
      <c r="C459" s="5" t="n"/>
      <c r="D459" s="6" t="n"/>
      <c r="E459" s="5" t="n"/>
      <c r="F459" s="5" t="n"/>
    </row>
    <row r="460">
      <c r="A460" s="5" t="n"/>
      <c r="B460" s="5" t="n"/>
      <c r="C460" s="5" t="n"/>
      <c r="D460" s="6" t="n"/>
      <c r="E460" s="5" t="n"/>
      <c r="F460" s="5" t="n"/>
    </row>
    <row r="461">
      <c r="A461" s="5" t="n"/>
      <c r="B461" s="5" t="n"/>
      <c r="C461" s="5" t="n"/>
      <c r="D461" s="6" t="n"/>
      <c r="E461" s="5" t="n"/>
      <c r="F461" s="5" t="n"/>
    </row>
    <row r="462">
      <c r="A462" s="5" t="n"/>
      <c r="B462" s="5" t="n"/>
      <c r="C462" s="5" t="n"/>
      <c r="D462" s="6" t="n"/>
      <c r="E462" s="5" t="n"/>
      <c r="F462" s="5" t="n"/>
    </row>
    <row r="463">
      <c r="A463" s="5" t="n"/>
      <c r="B463" s="5" t="n"/>
      <c r="C463" s="5" t="n"/>
      <c r="D463" s="6" t="n"/>
      <c r="E463" s="5" t="n"/>
      <c r="F463" s="5" t="n"/>
    </row>
    <row r="464">
      <c r="A464" s="5" t="n"/>
      <c r="B464" s="5" t="n"/>
      <c r="C464" s="5" t="n"/>
      <c r="D464" s="6" t="n"/>
      <c r="E464" s="5" t="n"/>
      <c r="F464" s="5" t="n"/>
    </row>
    <row r="465">
      <c r="A465" s="5" t="n"/>
      <c r="B465" s="5" t="n"/>
      <c r="C465" s="5" t="n"/>
      <c r="D465" s="6" t="n"/>
      <c r="E465" s="5" t="n"/>
      <c r="F465" s="5" t="n"/>
    </row>
    <row r="466">
      <c r="A466" s="5" t="n"/>
      <c r="B466" s="5" t="n"/>
      <c r="C466" s="5" t="n"/>
      <c r="D466" s="6" t="n"/>
      <c r="E466" s="5" t="n"/>
      <c r="F466" s="5" t="n"/>
    </row>
    <row r="467">
      <c r="A467" s="5" t="n"/>
      <c r="B467" s="5" t="n"/>
      <c r="C467" s="5" t="n"/>
      <c r="D467" s="6" t="n"/>
      <c r="E467" s="5" t="n"/>
      <c r="F467" s="5" t="n"/>
    </row>
    <row r="468">
      <c r="A468" s="5" t="n"/>
      <c r="B468" s="5" t="n"/>
      <c r="C468" s="5" t="n"/>
      <c r="D468" s="6" t="n"/>
      <c r="E468" s="5" t="n"/>
      <c r="F468" s="5" t="n"/>
    </row>
    <row r="469">
      <c r="A469" s="5" t="n"/>
      <c r="B469" s="5" t="n"/>
      <c r="C469" s="5" t="n"/>
      <c r="D469" s="6" t="n"/>
      <c r="E469" s="5" t="n"/>
      <c r="F469" s="5" t="n"/>
    </row>
    <row r="470">
      <c r="A470" s="5" t="n"/>
      <c r="B470" s="5" t="n"/>
      <c r="C470" s="5" t="n"/>
      <c r="D470" s="6" t="n"/>
      <c r="E470" s="5" t="n"/>
      <c r="F470" s="5" t="n"/>
    </row>
    <row r="471">
      <c r="A471" s="5" t="n"/>
      <c r="B471" s="5" t="n"/>
      <c r="C471" s="5" t="n"/>
      <c r="D471" s="6" t="n"/>
      <c r="E471" s="5" t="n"/>
      <c r="F471" s="5" t="n"/>
    </row>
    <row r="472">
      <c r="A472" s="5" t="n"/>
      <c r="B472" s="5" t="n"/>
      <c r="C472" s="5" t="n"/>
      <c r="D472" s="6" t="n"/>
      <c r="E472" s="5" t="n"/>
      <c r="F472" s="5" t="n"/>
    </row>
    <row r="473">
      <c r="A473" s="5" t="n"/>
      <c r="B473" s="5" t="n"/>
      <c r="C473" s="5" t="n"/>
      <c r="D473" s="6" t="n"/>
      <c r="E473" s="5" t="n"/>
      <c r="F473" s="5" t="n"/>
    </row>
    <row r="474">
      <c r="A474" s="5" t="n"/>
      <c r="B474" s="5" t="n"/>
      <c r="C474" s="5" t="n"/>
      <c r="D474" s="6" t="n"/>
      <c r="E474" s="5" t="n"/>
      <c r="F474" s="5" t="n"/>
    </row>
    <row r="475">
      <c r="A475" s="5" t="n"/>
      <c r="B475" s="5" t="n"/>
      <c r="C475" s="5" t="n"/>
      <c r="D475" s="6" t="n"/>
      <c r="E475" s="5" t="n"/>
      <c r="F475" s="5" t="n"/>
    </row>
    <row r="476">
      <c r="A476" s="5" t="n"/>
      <c r="B476" s="5" t="n"/>
      <c r="C476" s="5" t="n"/>
      <c r="D476" s="6" t="n"/>
      <c r="E476" s="5" t="n"/>
      <c r="F476" s="5" t="n"/>
    </row>
    <row r="477">
      <c r="A477" s="5" t="n"/>
      <c r="B477" s="5" t="n"/>
      <c r="C477" s="5" t="n"/>
      <c r="D477" s="6" t="n"/>
      <c r="E477" s="5" t="n"/>
      <c r="F477" s="5" t="n"/>
    </row>
    <row r="478">
      <c r="A478" s="5" t="n"/>
      <c r="B478" s="5" t="n"/>
      <c r="C478" s="5" t="n"/>
      <c r="D478" s="6" t="n"/>
      <c r="E478" s="5" t="n"/>
      <c r="F478" s="5" t="n"/>
    </row>
    <row r="479">
      <c r="A479" s="5" t="n"/>
      <c r="B479" s="5" t="n"/>
      <c r="C479" s="5" t="n"/>
      <c r="D479" s="6" t="n"/>
      <c r="E479" s="5" t="n"/>
      <c r="F479" s="5" t="n"/>
    </row>
    <row r="480">
      <c r="A480" s="5" t="n"/>
      <c r="B480" s="5" t="n"/>
      <c r="C480" s="5" t="n"/>
      <c r="D480" s="6" t="n"/>
      <c r="E480" s="5" t="n"/>
      <c r="F480" s="5" t="n"/>
    </row>
    <row r="481">
      <c r="A481" s="5" t="n"/>
      <c r="B481" s="5" t="n"/>
      <c r="C481" s="5" t="n"/>
      <c r="D481" s="6" t="n"/>
      <c r="E481" s="5" t="n"/>
      <c r="F481" s="5" t="n"/>
    </row>
    <row r="482">
      <c r="A482" s="5" t="n"/>
      <c r="B482" s="5" t="n"/>
      <c r="C482" s="5" t="n"/>
      <c r="D482" s="6" t="n"/>
      <c r="E482" s="5" t="n"/>
      <c r="F482" s="5" t="n"/>
    </row>
    <row r="483">
      <c r="A483" s="5" t="n"/>
      <c r="B483" s="5" t="n"/>
      <c r="C483" s="5" t="n"/>
      <c r="D483" s="6" t="n"/>
      <c r="E483" s="5" t="n"/>
      <c r="F483" s="5" t="n"/>
    </row>
    <row r="484">
      <c r="A484" s="5" t="n"/>
      <c r="B484" s="5" t="n"/>
      <c r="C484" s="5" t="n"/>
      <c r="D484" s="6" t="n"/>
      <c r="E484" s="5" t="n"/>
      <c r="F484" s="5" t="n"/>
    </row>
    <row r="485">
      <c r="A485" s="5" t="n"/>
      <c r="B485" s="5" t="n"/>
      <c r="C485" s="5" t="n"/>
      <c r="D485" s="6" t="n"/>
      <c r="E485" s="5" t="n"/>
      <c r="F485" s="5" t="n"/>
    </row>
    <row r="486">
      <c r="A486" s="5" t="n"/>
      <c r="B486" s="5" t="n"/>
      <c r="C486" s="5" t="n"/>
      <c r="D486" s="6" t="n"/>
      <c r="E486" s="5" t="n"/>
      <c r="F486" s="5" t="n"/>
    </row>
    <row r="487">
      <c r="A487" s="5" t="n"/>
      <c r="B487" s="5" t="n"/>
      <c r="C487" s="5" t="n"/>
      <c r="D487" s="6" t="n"/>
      <c r="E487" s="5" t="n"/>
      <c r="F487" s="5" t="n"/>
    </row>
    <row r="488">
      <c r="A488" s="5" t="n"/>
      <c r="B488" s="5" t="n"/>
      <c r="C488" s="5" t="n"/>
      <c r="D488" s="6" t="n"/>
      <c r="E488" s="5" t="n"/>
      <c r="F488" s="5" t="n"/>
    </row>
    <row r="489">
      <c r="A489" s="5" t="n"/>
      <c r="B489" s="5" t="n"/>
      <c r="C489" s="5" t="n"/>
      <c r="D489" s="6" t="n"/>
      <c r="E489" s="5" t="n"/>
      <c r="F489" s="5" t="n"/>
    </row>
    <row r="490">
      <c r="A490" s="5" t="n"/>
      <c r="B490" s="5" t="n"/>
      <c r="C490" s="5" t="n"/>
      <c r="D490" s="6" t="n"/>
      <c r="E490" s="5" t="n"/>
      <c r="F490" s="5" t="n"/>
    </row>
    <row r="491">
      <c r="A491" s="5" t="n"/>
      <c r="B491" s="5" t="n"/>
      <c r="C491" s="5" t="n"/>
      <c r="D491" s="6" t="n"/>
      <c r="E491" s="5" t="n"/>
      <c r="F491" s="5" t="n"/>
    </row>
    <row r="492">
      <c r="A492" s="5" t="n"/>
      <c r="B492" s="5" t="n"/>
      <c r="C492" s="5" t="n"/>
      <c r="D492" s="6" t="n"/>
      <c r="E492" s="5" t="n"/>
      <c r="F492" s="5" t="n"/>
    </row>
    <row r="493">
      <c r="A493" s="5" t="n"/>
      <c r="B493" s="5" t="n"/>
      <c r="C493" s="5" t="n"/>
      <c r="D493" s="6" t="n"/>
      <c r="E493" s="5" t="n"/>
      <c r="F493" s="5" t="n"/>
    </row>
    <row r="494">
      <c r="A494" s="5" t="n"/>
      <c r="B494" s="5" t="n"/>
      <c r="C494" s="5" t="n"/>
      <c r="D494" s="6" t="n"/>
      <c r="E494" s="5" t="n"/>
      <c r="F494" s="5" t="n"/>
    </row>
    <row r="495">
      <c r="A495" s="5" t="n"/>
      <c r="B495" s="5" t="n"/>
      <c r="C495" s="5" t="n"/>
      <c r="D495" s="6" t="n"/>
      <c r="E495" s="5" t="n"/>
      <c r="F495" s="5" t="n"/>
    </row>
    <row r="496">
      <c r="A496" s="5" t="n"/>
      <c r="B496" s="5" t="n"/>
      <c r="C496" s="5" t="n"/>
      <c r="D496" s="6" t="n"/>
      <c r="E496" s="5" t="n"/>
      <c r="F496" s="5" t="n"/>
    </row>
    <row r="497">
      <c r="A497" s="5" t="n"/>
      <c r="B497" s="5" t="n"/>
      <c r="C497" s="5" t="n"/>
      <c r="D497" s="6" t="n"/>
      <c r="E497" s="5" t="n"/>
      <c r="F497" s="5" t="n"/>
    </row>
    <row r="498">
      <c r="A498" s="5" t="n"/>
      <c r="B498" s="5" t="n"/>
      <c r="C498" s="5" t="n"/>
      <c r="D498" s="6" t="n"/>
      <c r="E498" s="5" t="n"/>
      <c r="F498" s="5" t="n"/>
    </row>
    <row r="499">
      <c r="A499" s="5" t="n"/>
      <c r="B499" s="5" t="n"/>
      <c r="C499" s="5" t="n"/>
      <c r="D499" s="6" t="n"/>
      <c r="E499" s="5" t="n"/>
      <c r="F499" s="5" t="n"/>
    </row>
    <row r="500">
      <c r="A500" s="5" t="n"/>
      <c r="B500" s="5" t="n"/>
      <c r="C500" s="5" t="n"/>
      <c r="D500" s="6" t="n"/>
      <c r="E500" s="5" t="n"/>
      <c r="F500" s="5" t="n"/>
    </row>
    <row r="501">
      <c r="A501" s="5" t="n"/>
      <c r="B501" s="5" t="n"/>
      <c r="C501" s="5" t="n"/>
      <c r="D501" s="6" t="n"/>
      <c r="E501" s="5" t="n"/>
      <c r="F501" s="5" t="n"/>
    </row>
  </sheetData>
  <pageMargins left="0.75" right="0.75" top="1" bottom="1" header="0.5" footer="0.5"/>
  <tableParts count="1">
    <tablePart xmlns:r="http://schemas.openxmlformats.org/officeDocument/2006/relationships" r:id="rId1"/>
  </tableParts>
</worksheet>
</file>

<file path=xl/worksheets/sheet3.xml><?xml version="1.0" encoding="utf-8"?>
<worksheet xmlns="http://schemas.openxmlformats.org/spreadsheetml/2006/main">
  <sheetPr>
    <outlinePr summaryBelow="1" summaryRight="1"/>
    <pageSetUpPr/>
  </sheetPr>
  <dimension ref="A1:F501"/>
  <sheetViews>
    <sheetView workbookViewId="0">
      <selection activeCell="A1" sqref="A1"/>
    </sheetView>
  </sheetViews>
  <sheetFormatPr baseColWidth="8" defaultRowHeight="15"/>
  <cols>
    <col width="11" customWidth="1" min="1" max="1"/>
    <col width="26" customWidth="1" min="2" max="2"/>
    <col width="18" customWidth="1" min="3" max="3"/>
    <col width="17" customWidth="1" min="4" max="4"/>
    <col width="13" customWidth="1" min="5" max="5"/>
    <col width="10" customWidth="1" min="6" max="6"/>
  </cols>
  <sheetData>
    <row r="1">
      <c r="A1" s="4" t="inlineStr">
        <is>
          <t>Item ID</t>
        </is>
      </c>
      <c r="B1" s="4" t="inlineStr">
        <is>
          <t>Description</t>
        </is>
      </c>
      <c r="C1" s="4" t="inlineStr">
        <is>
          <t>Annual Usage Value</t>
        </is>
      </c>
      <c r="D1" s="4" t="inlineStr">
        <is>
          <t>Cumulative Value</t>
        </is>
      </c>
      <c r="E1" s="4" t="inlineStr">
        <is>
          <t>Cumulative %</t>
        </is>
      </c>
      <c r="F1" s="4" t="inlineStr">
        <is>
          <t>ABC Class</t>
        </is>
      </c>
    </row>
    <row r="2">
      <c r="A2" s="8">
        <f>IF(1&gt;COUNT('Master Inventory'!$G:$G),"",INDEX('Master Inventory'!$A:$A,MATCH(1,'Master Inventory'!$J:$J,0)))</f>
        <v/>
      </c>
      <c r="B2" s="8">
        <f>IF($A2="","",INDEX('Master Inventory'!$B:$B,MATCH($A2,'Master Inventory'!$A:$A,0)))</f>
        <v/>
      </c>
      <c r="C2" s="7">
        <f>IF($A2="","",INDEX('Master Inventory'!$G:$G,MATCH($A2,'Master Inventory'!$A:$A,0)))</f>
        <v/>
      </c>
      <c r="D2" s="7">
        <f>IF($A2="","",C2)</f>
        <v/>
      </c>
      <c r="E2" s="9">
        <f>IF($A2="","",D2/SUM('Master Inventory'!$G:$G))</f>
        <v/>
      </c>
      <c r="F2" s="8">
        <f>IF($A2="","",IF(E2&lt;=0.8,"A",IF(E2&lt;=0.95,"B","C")))</f>
        <v/>
      </c>
    </row>
    <row r="3">
      <c r="A3" s="8">
        <f>IF(2&gt;COUNT('Master Inventory'!$G:$G),"",INDEX('Master Inventory'!$A:$A,MATCH(2,'Master Inventory'!$J:$J,0)))</f>
        <v/>
      </c>
      <c r="B3" s="8">
        <f>IF($A3="","",INDEX('Master Inventory'!$B:$B,MATCH($A3,'Master Inventory'!$A:$A,0)))</f>
        <v/>
      </c>
      <c r="C3" s="7">
        <f>IF($A3="","",INDEX('Master Inventory'!$G:$G,MATCH($A3,'Master Inventory'!$A:$A,0)))</f>
        <v/>
      </c>
      <c r="D3" s="7">
        <f>IF($A3="","",D2+C3)</f>
        <v/>
      </c>
      <c r="E3" s="9">
        <f>IF($A3="","",D3/SUM('Master Inventory'!$G:$G))</f>
        <v/>
      </c>
      <c r="F3" s="8">
        <f>IF($A3="","",IF(E3&lt;=0.8,"A",IF(E3&lt;=0.95,"B","C")))</f>
        <v/>
      </c>
    </row>
    <row r="4">
      <c r="A4" s="8">
        <f>IF(3&gt;COUNT('Master Inventory'!$G:$G),"",INDEX('Master Inventory'!$A:$A,MATCH(3,'Master Inventory'!$J:$J,0)))</f>
        <v/>
      </c>
      <c r="B4" s="8">
        <f>IF($A4="","",INDEX('Master Inventory'!$B:$B,MATCH($A4,'Master Inventory'!$A:$A,0)))</f>
        <v/>
      </c>
      <c r="C4" s="7">
        <f>IF($A4="","",INDEX('Master Inventory'!$G:$G,MATCH($A4,'Master Inventory'!$A:$A,0)))</f>
        <v/>
      </c>
      <c r="D4" s="7">
        <f>IF($A4="","",D3+C4)</f>
        <v/>
      </c>
      <c r="E4" s="9">
        <f>IF($A4="","",D4/SUM('Master Inventory'!$G:$G))</f>
        <v/>
      </c>
      <c r="F4" s="8">
        <f>IF($A4="","",IF(E4&lt;=0.8,"A",IF(E4&lt;=0.95,"B","C")))</f>
        <v/>
      </c>
    </row>
    <row r="5">
      <c r="A5" s="8">
        <f>IF(4&gt;COUNT('Master Inventory'!$G:$G),"",INDEX('Master Inventory'!$A:$A,MATCH(4,'Master Inventory'!$J:$J,0)))</f>
        <v/>
      </c>
      <c r="B5" s="8">
        <f>IF($A5="","",INDEX('Master Inventory'!$B:$B,MATCH($A5,'Master Inventory'!$A:$A,0)))</f>
        <v/>
      </c>
      <c r="C5" s="7">
        <f>IF($A5="","",INDEX('Master Inventory'!$G:$G,MATCH($A5,'Master Inventory'!$A:$A,0)))</f>
        <v/>
      </c>
      <c r="D5" s="7">
        <f>IF($A5="","",D4+C5)</f>
        <v/>
      </c>
      <c r="E5" s="9">
        <f>IF($A5="","",D5/SUM('Master Inventory'!$G:$G))</f>
        <v/>
      </c>
      <c r="F5" s="8">
        <f>IF($A5="","",IF(E5&lt;=0.8,"A",IF(E5&lt;=0.95,"B","C")))</f>
        <v/>
      </c>
    </row>
    <row r="6">
      <c r="A6" s="8">
        <f>IF(5&gt;COUNT('Master Inventory'!$G:$G),"",INDEX('Master Inventory'!$A:$A,MATCH(5,'Master Inventory'!$J:$J,0)))</f>
        <v/>
      </c>
      <c r="B6" s="8">
        <f>IF($A6="","",INDEX('Master Inventory'!$B:$B,MATCH($A6,'Master Inventory'!$A:$A,0)))</f>
        <v/>
      </c>
      <c r="C6" s="7">
        <f>IF($A6="","",INDEX('Master Inventory'!$G:$G,MATCH($A6,'Master Inventory'!$A:$A,0)))</f>
        <v/>
      </c>
      <c r="D6" s="7">
        <f>IF($A6="","",D5+C6)</f>
        <v/>
      </c>
      <c r="E6" s="9">
        <f>IF($A6="","",D6/SUM('Master Inventory'!$G:$G))</f>
        <v/>
      </c>
      <c r="F6" s="8">
        <f>IF($A6="","",IF(E6&lt;=0.8,"A",IF(E6&lt;=0.95,"B","C")))</f>
        <v/>
      </c>
    </row>
    <row r="7">
      <c r="A7" s="8">
        <f>IF(6&gt;COUNT('Master Inventory'!$G:$G),"",INDEX('Master Inventory'!$A:$A,MATCH(6,'Master Inventory'!$J:$J,0)))</f>
        <v/>
      </c>
      <c r="B7" s="8">
        <f>IF($A7="","",INDEX('Master Inventory'!$B:$B,MATCH($A7,'Master Inventory'!$A:$A,0)))</f>
        <v/>
      </c>
      <c r="C7" s="7">
        <f>IF($A7="","",INDEX('Master Inventory'!$G:$G,MATCH($A7,'Master Inventory'!$A:$A,0)))</f>
        <v/>
      </c>
      <c r="D7" s="7">
        <f>IF($A7="","",D6+C7)</f>
        <v/>
      </c>
      <c r="E7" s="9">
        <f>IF($A7="","",D7/SUM('Master Inventory'!$G:$G))</f>
        <v/>
      </c>
      <c r="F7" s="8">
        <f>IF($A7="","",IF(E7&lt;=0.8,"A",IF(E7&lt;=0.95,"B","C")))</f>
        <v/>
      </c>
    </row>
    <row r="8">
      <c r="A8" s="8">
        <f>IF(7&gt;COUNT('Master Inventory'!$G:$G),"",INDEX('Master Inventory'!$A:$A,MATCH(7,'Master Inventory'!$J:$J,0)))</f>
        <v/>
      </c>
      <c r="B8" s="8">
        <f>IF($A8="","",INDEX('Master Inventory'!$B:$B,MATCH($A8,'Master Inventory'!$A:$A,0)))</f>
        <v/>
      </c>
      <c r="C8" s="7">
        <f>IF($A8="","",INDEX('Master Inventory'!$G:$G,MATCH($A8,'Master Inventory'!$A:$A,0)))</f>
        <v/>
      </c>
      <c r="D8" s="7">
        <f>IF($A8="","",D7+C8)</f>
        <v/>
      </c>
      <c r="E8" s="9">
        <f>IF($A8="","",D8/SUM('Master Inventory'!$G:$G))</f>
        <v/>
      </c>
      <c r="F8" s="8">
        <f>IF($A8="","",IF(E8&lt;=0.8,"A",IF(E8&lt;=0.95,"B","C")))</f>
        <v/>
      </c>
    </row>
    <row r="9">
      <c r="A9" s="8">
        <f>IF(8&gt;COUNT('Master Inventory'!$G:$G),"",INDEX('Master Inventory'!$A:$A,MATCH(8,'Master Inventory'!$J:$J,0)))</f>
        <v/>
      </c>
      <c r="B9" s="8">
        <f>IF($A9="","",INDEX('Master Inventory'!$B:$B,MATCH($A9,'Master Inventory'!$A:$A,0)))</f>
        <v/>
      </c>
      <c r="C9" s="7">
        <f>IF($A9="","",INDEX('Master Inventory'!$G:$G,MATCH($A9,'Master Inventory'!$A:$A,0)))</f>
        <v/>
      </c>
      <c r="D9" s="7">
        <f>IF($A9="","",D8+C9)</f>
        <v/>
      </c>
      <c r="E9" s="9">
        <f>IF($A9="","",D9/SUM('Master Inventory'!$G:$G))</f>
        <v/>
      </c>
      <c r="F9" s="8">
        <f>IF($A9="","",IF(E9&lt;=0.8,"A",IF(E9&lt;=0.95,"B","C")))</f>
        <v/>
      </c>
    </row>
    <row r="10">
      <c r="A10" s="8">
        <f>IF(9&gt;COUNT('Master Inventory'!$G:$G),"",INDEX('Master Inventory'!$A:$A,MATCH(9,'Master Inventory'!$J:$J,0)))</f>
        <v/>
      </c>
      <c r="B10" s="8">
        <f>IF($A10="","",INDEX('Master Inventory'!$B:$B,MATCH($A10,'Master Inventory'!$A:$A,0)))</f>
        <v/>
      </c>
      <c r="C10" s="7">
        <f>IF($A10="","",INDEX('Master Inventory'!$G:$G,MATCH($A10,'Master Inventory'!$A:$A,0)))</f>
        <v/>
      </c>
      <c r="D10" s="7">
        <f>IF($A10="","",D9+C10)</f>
        <v/>
      </c>
      <c r="E10" s="9">
        <f>IF($A10="","",D10/SUM('Master Inventory'!$G:$G))</f>
        <v/>
      </c>
      <c r="F10" s="8">
        <f>IF($A10="","",IF(E10&lt;=0.8,"A",IF(E10&lt;=0.95,"B","C")))</f>
        <v/>
      </c>
    </row>
    <row r="11">
      <c r="A11" s="8">
        <f>IF(10&gt;COUNT('Master Inventory'!$G:$G),"",INDEX('Master Inventory'!$A:$A,MATCH(10,'Master Inventory'!$J:$J,0)))</f>
        <v/>
      </c>
      <c r="B11" s="8">
        <f>IF($A11="","",INDEX('Master Inventory'!$B:$B,MATCH($A11,'Master Inventory'!$A:$A,0)))</f>
        <v/>
      </c>
      <c r="C11" s="7">
        <f>IF($A11="","",INDEX('Master Inventory'!$G:$G,MATCH($A11,'Master Inventory'!$A:$A,0)))</f>
        <v/>
      </c>
      <c r="D11" s="7">
        <f>IF($A11="","",D10+C11)</f>
        <v/>
      </c>
      <c r="E11" s="9">
        <f>IF($A11="","",D11/SUM('Master Inventory'!$G:$G))</f>
        <v/>
      </c>
      <c r="F11" s="8">
        <f>IF($A11="","",IF(E11&lt;=0.8,"A",IF(E11&lt;=0.95,"B","C")))</f>
        <v/>
      </c>
    </row>
    <row r="12">
      <c r="A12" s="8">
        <f>IF(11&gt;COUNT('Master Inventory'!$G:$G),"",INDEX('Master Inventory'!$A:$A,MATCH(11,'Master Inventory'!$J:$J,0)))</f>
        <v/>
      </c>
      <c r="B12" s="8">
        <f>IF($A12="","",INDEX('Master Inventory'!$B:$B,MATCH($A12,'Master Inventory'!$A:$A,0)))</f>
        <v/>
      </c>
      <c r="C12" s="7">
        <f>IF($A12="","",INDEX('Master Inventory'!$G:$G,MATCH($A12,'Master Inventory'!$A:$A,0)))</f>
        <v/>
      </c>
      <c r="D12" s="7">
        <f>IF($A12="","",D11+C12)</f>
        <v/>
      </c>
      <c r="E12" s="9">
        <f>IF($A12="","",D12/SUM('Master Inventory'!$G:$G))</f>
        <v/>
      </c>
      <c r="F12" s="8">
        <f>IF($A12="","",IF(E12&lt;=0.8,"A",IF(E12&lt;=0.95,"B","C")))</f>
        <v/>
      </c>
    </row>
    <row r="13">
      <c r="A13" s="8">
        <f>IF(12&gt;COUNT('Master Inventory'!$G:$G),"",INDEX('Master Inventory'!$A:$A,MATCH(12,'Master Inventory'!$J:$J,0)))</f>
        <v/>
      </c>
      <c r="B13" s="8">
        <f>IF($A13="","",INDEX('Master Inventory'!$B:$B,MATCH($A13,'Master Inventory'!$A:$A,0)))</f>
        <v/>
      </c>
      <c r="C13" s="7">
        <f>IF($A13="","",INDEX('Master Inventory'!$G:$G,MATCH($A13,'Master Inventory'!$A:$A,0)))</f>
        <v/>
      </c>
      <c r="D13" s="7">
        <f>IF($A13="","",D12+C13)</f>
        <v/>
      </c>
      <c r="E13" s="9">
        <f>IF($A13="","",D13/SUM('Master Inventory'!$G:$G))</f>
        <v/>
      </c>
      <c r="F13" s="8">
        <f>IF($A13="","",IF(E13&lt;=0.8,"A",IF(E13&lt;=0.95,"B","C")))</f>
        <v/>
      </c>
    </row>
    <row r="14">
      <c r="A14" s="8">
        <f>IF(13&gt;COUNT('Master Inventory'!$G:$G),"",INDEX('Master Inventory'!$A:$A,MATCH(13,'Master Inventory'!$J:$J,0)))</f>
        <v/>
      </c>
      <c r="B14" s="8">
        <f>IF($A14="","",INDEX('Master Inventory'!$B:$B,MATCH($A14,'Master Inventory'!$A:$A,0)))</f>
        <v/>
      </c>
      <c r="C14" s="7">
        <f>IF($A14="","",INDEX('Master Inventory'!$G:$G,MATCH($A14,'Master Inventory'!$A:$A,0)))</f>
        <v/>
      </c>
      <c r="D14" s="7">
        <f>IF($A14="","",D13+C14)</f>
        <v/>
      </c>
      <c r="E14" s="9">
        <f>IF($A14="","",D14/SUM('Master Inventory'!$G:$G))</f>
        <v/>
      </c>
      <c r="F14" s="8">
        <f>IF($A14="","",IF(E14&lt;=0.8,"A",IF(E14&lt;=0.95,"B","C")))</f>
        <v/>
      </c>
    </row>
    <row r="15">
      <c r="A15" s="8">
        <f>IF(14&gt;COUNT('Master Inventory'!$G:$G),"",INDEX('Master Inventory'!$A:$A,MATCH(14,'Master Inventory'!$J:$J,0)))</f>
        <v/>
      </c>
      <c r="B15" s="8">
        <f>IF($A15="","",INDEX('Master Inventory'!$B:$B,MATCH($A15,'Master Inventory'!$A:$A,0)))</f>
        <v/>
      </c>
      <c r="C15" s="7">
        <f>IF($A15="","",INDEX('Master Inventory'!$G:$G,MATCH($A15,'Master Inventory'!$A:$A,0)))</f>
        <v/>
      </c>
      <c r="D15" s="7">
        <f>IF($A15="","",D14+C15)</f>
        <v/>
      </c>
      <c r="E15" s="9">
        <f>IF($A15="","",D15/SUM('Master Inventory'!$G:$G))</f>
        <v/>
      </c>
      <c r="F15" s="8">
        <f>IF($A15="","",IF(E15&lt;=0.8,"A",IF(E15&lt;=0.95,"B","C")))</f>
        <v/>
      </c>
    </row>
    <row r="16">
      <c r="A16" s="8">
        <f>IF(15&gt;COUNT('Master Inventory'!$G:$G),"",INDEX('Master Inventory'!$A:$A,MATCH(15,'Master Inventory'!$J:$J,0)))</f>
        <v/>
      </c>
      <c r="B16" s="8">
        <f>IF($A16="","",INDEX('Master Inventory'!$B:$B,MATCH($A16,'Master Inventory'!$A:$A,0)))</f>
        <v/>
      </c>
      <c r="C16" s="7">
        <f>IF($A16="","",INDEX('Master Inventory'!$G:$G,MATCH($A16,'Master Inventory'!$A:$A,0)))</f>
        <v/>
      </c>
      <c r="D16" s="7">
        <f>IF($A16="","",D15+C16)</f>
        <v/>
      </c>
      <c r="E16" s="9">
        <f>IF($A16="","",D16/SUM('Master Inventory'!$G:$G))</f>
        <v/>
      </c>
      <c r="F16" s="8">
        <f>IF($A16="","",IF(E16&lt;=0.8,"A",IF(E16&lt;=0.95,"B","C")))</f>
        <v/>
      </c>
    </row>
    <row r="17">
      <c r="A17" s="8">
        <f>IF(16&gt;COUNT('Master Inventory'!$G:$G),"",INDEX('Master Inventory'!$A:$A,MATCH(16,'Master Inventory'!$J:$J,0)))</f>
        <v/>
      </c>
      <c r="B17" s="8">
        <f>IF($A17="","",INDEX('Master Inventory'!$B:$B,MATCH($A17,'Master Inventory'!$A:$A,0)))</f>
        <v/>
      </c>
      <c r="C17" s="7">
        <f>IF($A17="","",INDEX('Master Inventory'!$G:$G,MATCH($A17,'Master Inventory'!$A:$A,0)))</f>
        <v/>
      </c>
      <c r="D17" s="7">
        <f>IF($A17="","",D16+C17)</f>
        <v/>
      </c>
      <c r="E17" s="9">
        <f>IF($A17="","",D17/SUM('Master Inventory'!$G:$G))</f>
        <v/>
      </c>
      <c r="F17" s="8">
        <f>IF($A17="","",IF(E17&lt;=0.8,"A",IF(E17&lt;=0.95,"B","C")))</f>
        <v/>
      </c>
    </row>
    <row r="18">
      <c r="A18" s="8">
        <f>IF(17&gt;COUNT('Master Inventory'!$G:$G),"",INDEX('Master Inventory'!$A:$A,MATCH(17,'Master Inventory'!$J:$J,0)))</f>
        <v/>
      </c>
      <c r="B18" s="8">
        <f>IF($A18="","",INDEX('Master Inventory'!$B:$B,MATCH($A18,'Master Inventory'!$A:$A,0)))</f>
        <v/>
      </c>
      <c r="C18" s="7">
        <f>IF($A18="","",INDEX('Master Inventory'!$G:$G,MATCH($A18,'Master Inventory'!$A:$A,0)))</f>
        <v/>
      </c>
      <c r="D18" s="7">
        <f>IF($A18="","",D17+C18)</f>
        <v/>
      </c>
      <c r="E18" s="9">
        <f>IF($A18="","",D18/SUM('Master Inventory'!$G:$G))</f>
        <v/>
      </c>
      <c r="F18" s="8">
        <f>IF($A18="","",IF(E18&lt;=0.8,"A",IF(E18&lt;=0.95,"B","C")))</f>
        <v/>
      </c>
    </row>
    <row r="19">
      <c r="A19" s="8">
        <f>IF(18&gt;COUNT('Master Inventory'!$G:$G),"",INDEX('Master Inventory'!$A:$A,MATCH(18,'Master Inventory'!$J:$J,0)))</f>
        <v/>
      </c>
      <c r="B19" s="8">
        <f>IF($A19="","",INDEX('Master Inventory'!$B:$B,MATCH($A19,'Master Inventory'!$A:$A,0)))</f>
        <v/>
      </c>
      <c r="C19" s="7">
        <f>IF($A19="","",INDEX('Master Inventory'!$G:$G,MATCH($A19,'Master Inventory'!$A:$A,0)))</f>
        <v/>
      </c>
      <c r="D19" s="7">
        <f>IF($A19="","",D18+C19)</f>
        <v/>
      </c>
      <c r="E19" s="9">
        <f>IF($A19="","",D19/SUM('Master Inventory'!$G:$G))</f>
        <v/>
      </c>
      <c r="F19" s="8">
        <f>IF($A19="","",IF(E19&lt;=0.8,"A",IF(E19&lt;=0.95,"B","C")))</f>
        <v/>
      </c>
    </row>
    <row r="20">
      <c r="A20" s="8">
        <f>IF(19&gt;COUNT('Master Inventory'!$G:$G),"",INDEX('Master Inventory'!$A:$A,MATCH(19,'Master Inventory'!$J:$J,0)))</f>
        <v/>
      </c>
      <c r="B20" s="8">
        <f>IF($A20="","",INDEX('Master Inventory'!$B:$B,MATCH($A20,'Master Inventory'!$A:$A,0)))</f>
        <v/>
      </c>
      <c r="C20" s="7">
        <f>IF($A20="","",INDEX('Master Inventory'!$G:$G,MATCH($A20,'Master Inventory'!$A:$A,0)))</f>
        <v/>
      </c>
      <c r="D20" s="7">
        <f>IF($A20="","",D19+C20)</f>
        <v/>
      </c>
      <c r="E20" s="9">
        <f>IF($A20="","",D20/SUM('Master Inventory'!$G:$G))</f>
        <v/>
      </c>
      <c r="F20" s="8">
        <f>IF($A20="","",IF(E20&lt;=0.8,"A",IF(E20&lt;=0.95,"B","C")))</f>
        <v/>
      </c>
    </row>
    <row r="21">
      <c r="A21" s="8">
        <f>IF(20&gt;COUNT('Master Inventory'!$G:$G),"",INDEX('Master Inventory'!$A:$A,MATCH(20,'Master Inventory'!$J:$J,0)))</f>
        <v/>
      </c>
      <c r="B21" s="8">
        <f>IF($A21="","",INDEX('Master Inventory'!$B:$B,MATCH($A21,'Master Inventory'!$A:$A,0)))</f>
        <v/>
      </c>
      <c r="C21" s="7">
        <f>IF($A21="","",INDEX('Master Inventory'!$G:$G,MATCH($A21,'Master Inventory'!$A:$A,0)))</f>
        <v/>
      </c>
      <c r="D21" s="7">
        <f>IF($A21="","",D20+C21)</f>
        <v/>
      </c>
      <c r="E21" s="9">
        <f>IF($A21="","",D21/SUM('Master Inventory'!$G:$G))</f>
        <v/>
      </c>
      <c r="F21" s="8">
        <f>IF($A21="","",IF(E21&lt;=0.8,"A",IF(E21&lt;=0.95,"B","C")))</f>
        <v/>
      </c>
    </row>
    <row r="22">
      <c r="A22" s="8">
        <f>IF(21&gt;COUNT('Master Inventory'!$G:$G),"",INDEX('Master Inventory'!$A:$A,MATCH(21,'Master Inventory'!$J:$J,0)))</f>
        <v/>
      </c>
      <c r="B22" s="8">
        <f>IF($A22="","",INDEX('Master Inventory'!$B:$B,MATCH($A22,'Master Inventory'!$A:$A,0)))</f>
        <v/>
      </c>
      <c r="C22" s="7">
        <f>IF($A22="","",INDEX('Master Inventory'!$G:$G,MATCH($A22,'Master Inventory'!$A:$A,0)))</f>
        <v/>
      </c>
      <c r="D22" s="7">
        <f>IF($A22="","",D21+C22)</f>
        <v/>
      </c>
      <c r="E22" s="9">
        <f>IF($A22="","",D22/SUM('Master Inventory'!$G:$G))</f>
        <v/>
      </c>
      <c r="F22" s="8">
        <f>IF($A22="","",IF(E22&lt;=0.8,"A",IF(E22&lt;=0.95,"B","C")))</f>
        <v/>
      </c>
    </row>
    <row r="23">
      <c r="A23" s="8">
        <f>IF(22&gt;COUNT('Master Inventory'!$G:$G),"",INDEX('Master Inventory'!$A:$A,MATCH(22,'Master Inventory'!$J:$J,0)))</f>
        <v/>
      </c>
      <c r="B23" s="8">
        <f>IF($A23="","",INDEX('Master Inventory'!$B:$B,MATCH($A23,'Master Inventory'!$A:$A,0)))</f>
        <v/>
      </c>
      <c r="C23" s="7">
        <f>IF($A23="","",INDEX('Master Inventory'!$G:$G,MATCH($A23,'Master Inventory'!$A:$A,0)))</f>
        <v/>
      </c>
      <c r="D23" s="7">
        <f>IF($A23="","",D22+C23)</f>
        <v/>
      </c>
      <c r="E23" s="9">
        <f>IF($A23="","",D23/SUM('Master Inventory'!$G:$G))</f>
        <v/>
      </c>
      <c r="F23" s="8">
        <f>IF($A23="","",IF(E23&lt;=0.8,"A",IF(E23&lt;=0.95,"B","C")))</f>
        <v/>
      </c>
    </row>
    <row r="24">
      <c r="A24" s="8">
        <f>IF(23&gt;COUNT('Master Inventory'!$G:$G),"",INDEX('Master Inventory'!$A:$A,MATCH(23,'Master Inventory'!$J:$J,0)))</f>
        <v/>
      </c>
      <c r="B24" s="8">
        <f>IF($A24="","",INDEX('Master Inventory'!$B:$B,MATCH($A24,'Master Inventory'!$A:$A,0)))</f>
        <v/>
      </c>
      <c r="C24" s="7">
        <f>IF($A24="","",INDEX('Master Inventory'!$G:$G,MATCH($A24,'Master Inventory'!$A:$A,0)))</f>
        <v/>
      </c>
      <c r="D24" s="7">
        <f>IF($A24="","",D23+C24)</f>
        <v/>
      </c>
      <c r="E24" s="9">
        <f>IF($A24="","",D24/SUM('Master Inventory'!$G:$G))</f>
        <v/>
      </c>
      <c r="F24" s="8">
        <f>IF($A24="","",IF(E24&lt;=0.8,"A",IF(E24&lt;=0.95,"B","C")))</f>
        <v/>
      </c>
    </row>
    <row r="25">
      <c r="A25" s="8">
        <f>IF(24&gt;COUNT('Master Inventory'!$G:$G),"",INDEX('Master Inventory'!$A:$A,MATCH(24,'Master Inventory'!$J:$J,0)))</f>
        <v/>
      </c>
      <c r="B25" s="8">
        <f>IF($A25="","",INDEX('Master Inventory'!$B:$B,MATCH($A25,'Master Inventory'!$A:$A,0)))</f>
        <v/>
      </c>
      <c r="C25" s="7">
        <f>IF($A25="","",INDEX('Master Inventory'!$G:$G,MATCH($A25,'Master Inventory'!$A:$A,0)))</f>
        <v/>
      </c>
      <c r="D25" s="7">
        <f>IF($A25="","",D24+C25)</f>
        <v/>
      </c>
      <c r="E25" s="9">
        <f>IF($A25="","",D25/SUM('Master Inventory'!$G:$G))</f>
        <v/>
      </c>
      <c r="F25" s="8">
        <f>IF($A25="","",IF(E25&lt;=0.8,"A",IF(E25&lt;=0.95,"B","C")))</f>
        <v/>
      </c>
    </row>
    <row r="26">
      <c r="A26" s="8">
        <f>IF(25&gt;COUNT('Master Inventory'!$G:$G),"",INDEX('Master Inventory'!$A:$A,MATCH(25,'Master Inventory'!$J:$J,0)))</f>
        <v/>
      </c>
      <c r="B26" s="8">
        <f>IF($A26="","",INDEX('Master Inventory'!$B:$B,MATCH($A26,'Master Inventory'!$A:$A,0)))</f>
        <v/>
      </c>
      <c r="C26" s="7">
        <f>IF($A26="","",INDEX('Master Inventory'!$G:$G,MATCH($A26,'Master Inventory'!$A:$A,0)))</f>
        <v/>
      </c>
      <c r="D26" s="7">
        <f>IF($A26="","",D25+C26)</f>
        <v/>
      </c>
      <c r="E26" s="9">
        <f>IF($A26="","",D26/SUM('Master Inventory'!$G:$G))</f>
        <v/>
      </c>
      <c r="F26" s="8">
        <f>IF($A26="","",IF(E26&lt;=0.8,"A",IF(E26&lt;=0.95,"B","C")))</f>
        <v/>
      </c>
    </row>
    <row r="27">
      <c r="A27" s="8">
        <f>IF(26&gt;COUNT('Master Inventory'!$G:$G),"",INDEX('Master Inventory'!$A:$A,MATCH(26,'Master Inventory'!$J:$J,0)))</f>
        <v/>
      </c>
      <c r="B27" s="8">
        <f>IF($A27="","",INDEX('Master Inventory'!$B:$B,MATCH($A27,'Master Inventory'!$A:$A,0)))</f>
        <v/>
      </c>
      <c r="C27" s="7">
        <f>IF($A27="","",INDEX('Master Inventory'!$G:$G,MATCH($A27,'Master Inventory'!$A:$A,0)))</f>
        <v/>
      </c>
      <c r="D27" s="7">
        <f>IF($A27="","",D26+C27)</f>
        <v/>
      </c>
      <c r="E27" s="9">
        <f>IF($A27="","",D27/SUM('Master Inventory'!$G:$G))</f>
        <v/>
      </c>
      <c r="F27" s="8">
        <f>IF($A27="","",IF(E27&lt;=0.8,"A",IF(E27&lt;=0.95,"B","C")))</f>
        <v/>
      </c>
    </row>
    <row r="28">
      <c r="A28" s="8">
        <f>IF(27&gt;COUNT('Master Inventory'!$G:$G),"",INDEX('Master Inventory'!$A:$A,MATCH(27,'Master Inventory'!$J:$J,0)))</f>
        <v/>
      </c>
      <c r="B28" s="8">
        <f>IF($A28="","",INDEX('Master Inventory'!$B:$B,MATCH($A28,'Master Inventory'!$A:$A,0)))</f>
        <v/>
      </c>
      <c r="C28" s="7">
        <f>IF($A28="","",INDEX('Master Inventory'!$G:$G,MATCH($A28,'Master Inventory'!$A:$A,0)))</f>
        <v/>
      </c>
      <c r="D28" s="7">
        <f>IF($A28="","",D27+C28)</f>
        <v/>
      </c>
      <c r="E28" s="9">
        <f>IF($A28="","",D28/SUM('Master Inventory'!$G:$G))</f>
        <v/>
      </c>
      <c r="F28" s="8">
        <f>IF($A28="","",IF(E28&lt;=0.8,"A",IF(E28&lt;=0.95,"B","C")))</f>
        <v/>
      </c>
    </row>
    <row r="29">
      <c r="A29" s="8">
        <f>IF(28&gt;COUNT('Master Inventory'!$G:$G),"",INDEX('Master Inventory'!$A:$A,MATCH(28,'Master Inventory'!$J:$J,0)))</f>
        <v/>
      </c>
      <c r="B29" s="8">
        <f>IF($A29="","",INDEX('Master Inventory'!$B:$B,MATCH($A29,'Master Inventory'!$A:$A,0)))</f>
        <v/>
      </c>
      <c r="C29" s="7">
        <f>IF($A29="","",INDEX('Master Inventory'!$G:$G,MATCH($A29,'Master Inventory'!$A:$A,0)))</f>
        <v/>
      </c>
      <c r="D29" s="7">
        <f>IF($A29="","",D28+C29)</f>
        <v/>
      </c>
      <c r="E29" s="9">
        <f>IF($A29="","",D29/SUM('Master Inventory'!$G:$G))</f>
        <v/>
      </c>
      <c r="F29" s="8">
        <f>IF($A29="","",IF(E29&lt;=0.8,"A",IF(E29&lt;=0.95,"B","C")))</f>
        <v/>
      </c>
    </row>
    <row r="30">
      <c r="A30" s="8">
        <f>IF(29&gt;COUNT('Master Inventory'!$G:$G),"",INDEX('Master Inventory'!$A:$A,MATCH(29,'Master Inventory'!$J:$J,0)))</f>
        <v/>
      </c>
      <c r="B30" s="8">
        <f>IF($A30="","",INDEX('Master Inventory'!$B:$B,MATCH($A30,'Master Inventory'!$A:$A,0)))</f>
        <v/>
      </c>
      <c r="C30" s="7">
        <f>IF($A30="","",INDEX('Master Inventory'!$G:$G,MATCH($A30,'Master Inventory'!$A:$A,0)))</f>
        <v/>
      </c>
      <c r="D30" s="7">
        <f>IF($A30="","",D29+C30)</f>
        <v/>
      </c>
      <c r="E30" s="9">
        <f>IF($A30="","",D30/SUM('Master Inventory'!$G:$G))</f>
        <v/>
      </c>
      <c r="F30" s="8">
        <f>IF($A30="","",IF(E30&lt;=0.8,"A",IF(E30&lt;=0.95,"B","C")))</f>
        <v/>
      </c>
    </row>
    <row r="31">
      <c r="A31" s="8">
        <f>IF(30&gt;COUNT('Master Inventory'!$G:$G),"",INDEX('Master Inventory'!$A:$A,MATCH(30,'Master Inventory'!$J:$J,0)))</f>
        <v/>
      </c>
      <c r="B31" s="8">
        <f>IF($A31="","",INDEX('Master Inventory'!$B:$B,MATCH($A31,'Master Inventory'!$A:$A,0)))</f>
        <v/>
      </c>
      <c r="C31" s="7">
        <f>IF($A31="","",INDEX('Master Inventory'!$G:$G,MATCH($A31,'Master Inventory'!$A:$A,0)))</f>
        <v/>
      </c>
      <c r="D31" s="7">
        <f>IF($A31="","",D30+C31)</f>
        <v/>
      </c>
      <c r="E31" s="9">
        <f>IF($A31="","",D31/SUM('Master Inventory'!$G:$G))</f>
        <v/>
      </c>
      <c r="F31" s="8">
        <f>IF($A31="","",IF(E31&lt;=0.8,"A",IF(E31&lt;=0.95,"B","C")))</f>
        <v/>
      </c>
    </row>
    <row r="32">
      <c r="A32" s="8">
        <f>IF(31&gt;COUNT('Master Inventory'!$G:$G),"",INDEX('Master Inventory'!$A:$A,MATCH(31,'Master Inventory'!$J:$J,0)))</f>
        <v/>
      </c>
      <c r="B32" s="8">
        <f>IF($A32="","",INDEX('Master Inventory'!$B:$B,MATCH($A32,'Master Inventory'!$A:$A,0)))</f>
        <v/>
      </c>
      <c r="C32" s="7">
        <f>IF($A32="","",INDEX('Master Inventory'!$G:$G,MATCH($A32,'Master Inventory'!$A:$A,0)))</f>
        <v/>
      </c>
      <c r="D32" s="7">
        <f>IF($A32="","",D31+C32)</f>
        <v/>
      </c>
      <c r="E32" s="9">
        <f>IF($A32="","",D32/SUM('Master Inventory'!$G:$G))</f>
        <v/>
      </c>
      <c r="F32" s="8">
        <f>IF($A32="","",IF(E32&lt;=0.8,"A",IF(E32&lt;=0.95,"B","C")))</f>
        <v/>
      </c>
    </row>
    <row r="33">
      <c r="A33" s="8">
        <f>IF(32&gt;COUNT('Master Inventory'!$G:$G),"",INDEX('Master Inventory'!$A:$A,MATCH(32,'Master Inventory'!$J:$J,0)))</f>
        <v/>
      </c>
      <c r="B33" s="8">
        <f>IF($A33="","",INDEX('Master Inventory'!$B:$B,MATCH($A33,'Master Inventory'!$A:$A,0)))</f>
        <v/>
      </c>
      <c r="C33" s="7">
        <f>IF($A33="","",INDEX('Master Inventory'!$G:$G,MATCH($A33,'Master Inventory'!$A:$A,0)))</f>
        <v/>
      </c>
      <c r="D33" s="7">
        <f>IF($A33="","",D32+C33)</f>
        <v/>
      </c>
      <c r="E33" s="9">
        <f>IF($A33="","",D33/SUM('Master Inventory'!$G:$G))</f>
        <v/>
      </c>
      <c r="F33" s="8">
        <f>IF($A33="","",IF(E33&lt;=0.8,"A",IF(E33&lt;=0.95,"B","C")))</f>
        <v/>
      </c>
    </row>
    <row r="34">
      <c r="A34" s="8">
        <f>IF(33&gt;COUNT('Master Inventory'!$G:$G),"",INDEX('Master Inventory'!$A:$A,MATCH(33,'Master Inventory'!$J:$J,0)))</f>
        <v/>
      </c>
      <c r="B34" s="8">
        <f>IF($A34="","",INDEX('Master Inventory'!$B:$B,MATCH($A34,'Master Inventory'!$A:$A,0)))</f>
        <v/>
      </c>
      <c r="C34" s="7">
        <f>IF($A34="","",INDEX('Master Inventory'!$G:$G,MATCH($A34,'Master Inventory'!$A:$A,0)))</f>
        <v/>
      </c>
      <c r="D34" s="7">
        <f>IF($A34="","",D33+C34)</f>
        <v/>
      </c>
      <c r="E34" s="9">
        <f>IF($A34="","",D34/SUM('Master Inventory'!$G:$G))</f>
        <v/>
      </c>
      <c r="F34" s="8">
        <f>IF($A34="","",IF(E34&lt;=0.8,"A",IF(E34&lt;=0.95,"B","C")))</f>
        <v/>
      </c>
    </row>
    <row r="35">
      <c r="A35" s="8">
        <f>IF(34&gt;COUNT('Master Inventory'!$G:$G),"",INDEX('Master Inventory'!$A:$A,MATCH(34,'Master Inventory'!$J:$J,0)))</f>
        <v/>
      </c>
      <c r="B35" s="8">
        <f>IF($A35="","",INDEX('Master Inventory'!$B:$B,MATCH($A35,'Master Inventory'!$A:$A,0)))</f>
        <v/>
      </c>
      <c r="C35" s="7">
        <f>IF($A35="","",INDEX('Master Inventory'!$G:$G,MATCH($A35,'Master Inventory'!$A:$A,0)))</f>
        <v/>
      </c>
      <c r="D35" s="7">
        <f>IF($A35="","",D34+C35)</f>
        <v/>
      </c>
      <c r="E35" s="9">
        <f>IF($A35="","",D35/SUM('Master Inventory'!$G:$G))</f>
        <v/>
      </c>
      <c r="F35" s="8">
        <f>IF($A35="","",IF(E35&lt;=0.8,"A",IF(E35&lt;=0.95,"B","C")))</f>
        <v/>
      </c>
    </row>
    <row r="36">
      <c r="A36" s="8">
        <f>IF(35&gt;COUNT('Master Inventory'!$G:$G),"",INDEX('Master Inventory'!$A:$A,MATCH(35,'Master Inventory'!$J:$J,0)))</f>
        <v/>
      </c>
      <c r="B36" s="8">
        <f>IF($A36="","",INDEX('Master Inventory'!$B:$B,MATCH($A36,'Master Inventory'!$A:$A,0)))</f>
        <v/>
      </c>
      <c r="C36" s="7">
        <f>IF($A36="","",INDEX('Master Inventory'!$G:$G,MATCH($A36,'Master Inventory'!$A:$A,0)))</f>
        <v/>
      </c>
      <c r="D36" s="7">
        <f>IF($A36="","",D35+C36)</f>
        <v/>
      </c>
      <c r="E36" s="9">
        <f>IF($A36="","",D36/SUM('Master Inventory'!$G:$G))</f>
        <v/>
      </c>
      <c r="F36" s="8">
        <f>IF($A36="","",IF(E36&lt;=0.8,"A",IF(E36&lt;=0.95,"B","C")))</f>
        <v/>
      </c>
    </row>
    <row r="37">
      <c r="A37" s="8">
        <f>IF(36&gt;COUNT('Master Inventory'!$G:$G),"",INDEX('Master Inventory'!$A:$A,MATCH(36,'Master Inventory'!$J:$J,0)))</f>
        <v/>
      </c>
      <c r="B37" s="8">
        <f>IF($A37="","",INDEX('Master Inventory'!$B:$B,MATCH($A37,'Master Inventory'!$A:$A,0)))</f>
        <v/>
      </c>
      <c r="C37" s="7">
        <f>IF($A37="","",INDEX('Master Inventory'!$G:$G,MATCH($A37,'Master Inventory'!$A:$A,0)))</f>
        <v/>
      </c>
      <c r="D37" s="7">
        <f>IF($A37="","",D36+C37)</f>
        <v/>
      </c>
      <c r="E37" s="9">
        <f>IF($A37="","",D37/SUM('Master Inventory'!$G:$G))</f>
        <v/>
      </c>
      <c r="F37" s="8">
        <f>IF($A37="","",IF(E37&lt;=0.8,"A",IF(E37&lt;=0.95,"B","C")))</f>
        <v/>
      </c>
    </row>
    <row r="38">
      <c r="A38" s="8">
        <f>IF(37&gt;COUNT('Master Inventory'!$G:$G),"",INDEX('Master Inventory'!$A:$A,MATCH(37,'Master Inventory'!$J:$J,0)))</f>
        <v/>
      </c>
      <c r="B38" s="8">
        <f>IF($A38="","",INDEX('Master Inventory'!$B:$B,MATCH($A38,'Master Inventory'!$A:$A,0)))</f>
        <v/>
      </c>
      <c r="C38" s="7">
        <f>IF($A38="","",INDEX('Master Inventory'!$G:$G,MATCH($A38,'Master Inventory'!$A:$A,0)))</f>
        <v/>
      </c>
      <c r="D38" s="7">
        <f>IF($A38="","",D37+C38)</f>
        <v/>
      </c>
      <c r="E38" s="9">
        <f>IF($A38="","",D38/SUM('Master Inventory'!$G:$G))</f>
        <v/>
      </c>
      <c r="F38" s="8">
        <f>IF($A38="","",IF(E38&lt;=0.8,"A",IF(E38&lt;=0.95,"B","C")))</f>
        <v/>
      </c>
    </row>
    <row r="39">
      <c r="A39" s="8">
        <f>IF(38&gt;COUNT('Master Inventory'!$G:$G),"",INDEX('Master Inventory'!$A:$A,MATCH(38,'Master Inventory'!$J:$J,0)))</f>
        <v/>
      </c>
      <c r="B39" s="8">
        <f>IF($A39="","",INDEX('Master Inventory'!$B:$B,MATCH($A39,'Master Inventory'!$A:$A,0)))</f>
        <v/>
      </c>
      <c r="C39" s="7">
        <f>IF($A39="","",INDEX('Master Inventory'!$G:$G,MATCH($A39,'Master Inventory'!$A:$A,0)))</f>
        <v/>
      </c>
      <c r="D39" s="7">
        <f>IF($A39="","",D38+C39)</f>
        <v/>
      </c>
      <c r="E39" s="9">
        <f>IF($A39="","",D39/SUM('Master Inventory'!$G:$G))</f>
        <v/>
      </c>
      <c r="F39" s="8">
        <f>IF($A39="","",IF(E39&lt;=0.8,"A",IF(E39&lt;=0.95,"B","C")))</f>
        <v/>
      </c>
    </row>
    <row r="40">
      <c r="A40" s="8">
        <f>IF(39&gt;COUNT('Master Inventory'!$G:$G),"",INDEX('Master Inventory'!$A:$A,MATCH(39,'Master Inventory'!$J:$J,0)))</f>
        <v/>
      </c>
      <c r="B40" s="8">
        <f>IF($A40="","",INDEX('Master Inventory'!$B:$B,MATCH($A40,'Master Inventory'!$A:$A,0)))</f>
        <v/>
      </c>
      <c r="C40" s="7">
        <f>IF($A40="","",INDEX('Master Inventory'!$G:$G,MATCH($A40,'Master Inventory'!$A:$A,0)))</f>
        <v/>
      </c>
      <c r="D40" s="7">
        <f>IF($A40="","",D39+C40)</f>
        <v/>
      </c>
      <c r="E40" s="9">
        <f>IF($A40="","",D40/SUM('Master Inventory'!$G:$G))</f>
        <v/>
      </c>
      <c r="F40" s="8">
        <f>IF($A40="","",IF(E40&lt;=0.8,"A",IF(E40&lt;=0.95,"B","C")))</f>
        <v/>
      </c>
    </row>
    <row r="41">
      <c r="A41" s="8">
        <f>IF(40&gt;COUNT('Master Inventory'!$G:$G),"",INDEX('Master Inventory'!$A:$A,MATCH(40,'Master Inventory'!$J:$J,0)))</f>
        <v/>
      </c>
      <c r="B41" s="8">
        <f>IF($A41="","",INDEX('Master Inventory'!$B:$B,MATCH($A41,'Master Inventory'!$A:$A,0)))</f>
        <v/>
      </c>
      <c r="C41" s="7">
        <f>IF($A41="","",INDEX('Master Inventory'!$G:$G,MATCH($A41,'Master Inventory'!$A:$A,0)))</f>
        <v/>
      </c>
      <c r="D41" s="7">
        <f>IF($A41="","",D40+C41)</f>
        <v/>
      </c>
      <c r="E41" s="9">
        <f>IF($A41="","",D41/SUM('Master Inventory'!$G:$G))</f>
        <v/>
      </c>
      <c r="F41" s="8">
        <f>IF($A41="","",IF(E41&lt;=0.8,"A",IF(E41&lt;=0.95,"B","C")))</f>
        <v/>
      </c>
    </row>
    <row r="42">
      <c r="A42" s="8">
        <f>IF(41&gt;COUNT('Master Inventory'!$G:$G),"",INDEX('Master Inventory'!$A:$A,MATCH(41,'Master Inventory'!$J:$J,0)))</f>
        <v/>
      </c>
      <c r="B42" s="8">
        <f>IF($A42="","",INDEX('Master Inventory'!$B:$B,MATCH($A42,'Master Inventory'!$A:$A,0)))</f>
        <v/>
      </c>
      <c r="C42" s="7">
        <f>IF($A42="","",INDEX('Master Inventory'!$G:$G,MATCH($A42,'Master Inventory'!$A:$A,0)))</f>
        <v/>
      </c>
      <c r="D42" s="7">
        <f>IF($A42="","",D41+C42)</f>
        <v/>
      </c>
      <c r="E42" s="9">
        <f>IF($A42="","",D42/SUM('Master Inventory'!$G:$G))</f>
        <v/>
      </c>
      <c r="F42" s="8">
        <f>IF($A42="","",IF(E42&lt;=0.8,"A",IF(E42&lt;=0.95,"B","C")))</f>
        <v/>
      </c>
    </row>
    <row r="43">
      <c r="A43" s="8">
        <f>IF(42&gt;COUNT('Master Inventory'!$G:$G),"",INDEX('Master Inventory'!$A:$A,MATCH(42,'Master Inventory'!$J:$J,0)))</f>
        <v/>
      </c>
      <c r="B43" s="8">
        <f>IF($A43="","",INDEX('Master Inventory'!$B:$B,MATCH($A43,'Master Inventory'!$A:$A,0)))</f>
        <v/>
      </c>
      <c r="C43" s="7">
        <f>IF($A43="","",INDEX('Master Inventory'!$G:$G,MATCH($A43,'Master Inventory'!$A:$A,0)))</f>
        <v/>
      </c>
      <c r="D43" s="7">
        <f>IF($A43="","",D42+C43)</f>
        <v/>
      </c>
      <c r="E43" s="9">
        <f>IF($A43="","",D43/SUM('Master Inventory'!$G:$G))</f>
        <v/>
      </c>
      <c r="F43" s="8">
        <f>IF($A43="","",IF(E43&lt;=0.8,"A",IF(E43&lt;=0.95,"B","C")))</f>
        <v/>
      </c>
    </row>
    <row r="44">
      <c r="A44" s="8">
        <f>IF(43&gt;COUNT('Master Inventory'!$G:$G),"",INDEX('Master Inventory'!$A:$A,MATCH(43,'Master Inventory'!$J:$J,0)))</f>
        <v/>
      </c>
      <c r="B44" s="8">
        <f>IF($A44="","",INDEX('Master Inventory'!$B:$B,MATCH($A44,'Master Inventory'!$A:$A,0)))</f>
        <v/>
      </c>
      <c r="C44" s="7">
        <f>IF($A44="","",INDEX('Master Inventory'!$G:$G,MATCH($A44,'Master Inventory'!$A:$A,0)))</f>
        <v/>
      </c>
      <c r="D44" s="7">
        <f>IF($A44="","",D43+C44)</f>
        <v/>
      </c>
      <c r="E44" s="9">
        <f>IF($A44="","",D44/SUM('Master Inventory'!$G:$G))</f>
        <v/>
      </c>
      <c r="F44" s="8">
        <f>IF($A44="","",IF(E44&lt;=0.8,"A",IF(E44&lt;=0.95,"B","C")))</f>
        <v/>
      </c>
    </row>
    <row r="45">
      <c r="A45" s="8">
        <f>IF(44&gt;COUNT('Master Inventory'!$G:$G),"",INDEX('Master Inventory'!$A:$A,MATCH(44,'Master Inventory'!$J:$J,0)))</f>
        <v/>
      </c>
      <c r="B45" s="8">
        <f>IF($A45="","",INDEX('Master Inventory'!$B:$B,MATCH($A45,'Master Inventory'!$A:$A,0)))</f>
        <v/>
      </c>
      <c r="C45" s="7">
        <f>IF($A45="","",INDEX('Master Inventory'!$G:$G,MATCH($A45,'Master Inventory'!$A:$A,0)))</f>
        <v/>
      </c>
      <c r="D45" s="7">
        <f>IF($A45="","",D44+C45)</f>
        <v/>
      </c>
      <c r="E45" s="9">
        <f>IF($A45="","",D45/SUM('Master Inventory'!$G:$G))</f>
        <v/>
      </c>
      <c r="F45" s="8">
        <f>IF($A45="","",IF(E45&lt;=0.8,"A",IF(E45&lt;=0.95,"B","C")))</f>
        <v/>
      </c>
    </row>
    <row r="46">
      <c r="A46" s="8">
        <f>IF(45&gt;COUNT('Master Inventory'!$G:$G),"",INDEX('Master Inventory'!$A:$A,MATCH(45,'Master Inventory'!$J:$J,0)))</f>
        <v/>
      </c>
      <c r="B46" s="8">
        <f>IF($A46="","",INDEX('Master Inventory'!$B:$B,MATCH($A46,'Master Inventory'!$A:$A,0)))</f>
        <v/>
      </c>
      <c r="C46" s="7">
        <f>IF($A46="","",INDEX('Master Inventory'!$G:$G,MATCH($A46,'Master Inventory'!$A:$A,0)))</f>
        <v/>
      </c>
      <c r="D46" s="7">
        <f>IF($A46="","",D45+C46)</f>
        <v/>
      </c>
      <c r="E46" s="9">
        <f>IF($A46="","",D46/SUM('Master Inventory'!$G:$G))</f>
        <v/>
      </c>
      <c r="F46" s="8">
        <f>IF($A46="","",IF(E46&lt;=0.8,"A",IF(E46&lt;=0.95,"B","C")))</f>
        <v/>
      </c>
    </row>
    <row r="47">
      <c r="A47" s="8">
        <f>IF(46&gt;COUNT('Master Inventory'!$G:$G),"",INDEX('Master Inventory'!$A:$A,MATCH(46,'Master Inventory'!$J:$J,0)))</f>
        <v/>
      </c>
      <c r="B47" s="8">
        <f>IF($A47="","",INDEX('Master Inventory'!$B:$B,MATCH($A47,'Master Inventory'!$A:$A,0)))</f>
        <v/>
      </c>
      <c r="C47" s="7">
        <f>IF($A47="","",INDEX('Master Inventory'!$G:$G,MATCH($A47,'Master Inventory'!$A:$A,0)))</f>
        <v/>
      </c>
      <c r="D47" s="7">
        <f>IF($A47="","",D46+C47)</f>
        <v/>
      </c>
      <c r="E47" s="9">
        <f>IF($A47="","",D47/SUM('Master Inventory'!$G:$G))</f>
        <v/>
      </c>
      <c r="F47" s="8">
        <f>IF($A47="","",IF(E47&lt;=0.8,"A",IF(E47&lt;=0.95,"B","C")))</f>
        <v/>
      </c>
    </row>
    <row r="48">
      <c r="A48" s="8">
        <f>IF(47&gt;COUNT('Master Inventory'!$G:$G),"",INDEX('Master Inventory'!$A:$A,MATCH(47,'Master Inventory'!$J:$J,0)))</f>
        <v/>
      </c>
      <c r="B48" s="8">
        <f>IF($A48="","",INDEX('Master Inventory'!$B:$B,MATCH($A48,'Master Inventory'!$A:$A,0)))</f>
        <v/>
      </c>
      <c r="C48" s="7">
        <f>IF($A48="","",INDEX('Master Inventory'!$G:$G,MATCH($A48,'Master Inventory'!$A:$A,0)))</f>
        <v/>
      </c>
      <c r="D48" s="7">
        <f>IF($A48="","",D47+C48)</f>
        <v/>
      </c>
      <c r="E48" s="9">
        <f>IF($A48="","",D48/SUM('Master Inventory'!$G:$G))</f>
        <v/>
      </c>
      <c r="F48" s="8">
        <f>IF($A48="","",IF(E48&lt;=0.8,"A",IF(E48&lt;=0.95,"B","C")))</f>
        <v/>
      </c>
    </row>
    <row r="49">
      <c r="A49" s="8">
        <f>IF(48&gt;COUNT('Master Inventory'!$G:$G),"",INDEX('Master Inventory'!$A:$A,MATCH(48,'Master Inventory'!$J:$J,0)))</f>
        <v/>
      </c>
      <c r="B49" s="8">
        <f>IF($A49="","",INDEX('Master Inventory'!$B:$B,MATCH($A49,'Master Inventory'!$A:$A,0)))</f>
        <v/>
      </c>
      <c r="C49" s="7">
        <f>IF($A49="","",INDEX('Master Inventory'!$G:$G,MATCH($A49,'Master Inventory'!$A:$A,0)))</f>
        <v/>
      </c>
      <c r="D49" s="7">
        <f>IF($A49="","",D48+C49)</f>
        <v/>
      </c>
      <c r="E49" s="9">
        <f>IF($A49="","",D49/SUM('Master Inventory'!$G:$G))</f>
        <v/>
      </c>
      <c r="F49" s="8">
        <f>IF($A49="","",IF(E49&lt;=0.8,"A",IF(E49&lt;=0.95,"B","C")))</f>
        <v/>
      </c>
    </row>
    <row r="50">
      <c r="A50" s="8">
        <f>IF(49&gt;COUNT('Master Inventory'!$G:$G),"",INDEX('Master Inventory'!$A:$A,MATCH(49,'Master Inventory'!$J:$J,0)))</f>
        <v/>
      </c>
      <c r="B50" s="8">
        <f>IF($A50="","",INDEX('Master Inventory'!$B:$B,MATCH($A50,'Master Inventory'!$A:$A,0)))</f>
        <v/>
      </c>
      <c r="C50" s="7">
        <f>IF($A50="","",INDEX('Master Inventory'!$G:$G,MATCH($A50,'Master Inventory'!$A:$A,0)))</f>
        <v/>
      </c>
      <c r="D50" s="7">
        <f>IF($A50="","",D49+C50)</f>
        <v/>
      </c>
      <c r="E50" s="9">
        <f>IF($A50="","",D50/SUM('Master Inventory'!$G:$G))</f>
        <v/>
      </c>
      <c r="F50" s="8">
        <f>IF($A50="","",IF(E50&lt;=0.8,"A",IF(E50&lt;=0.95,"B","C")))</f>
        <v/>
      </c>
    </row>
    <row r="51">
      <c r="A51" s="8">
        <f>IF(50&gt;COUNT('Master Inventory'!$G:$G),"",INDEX('Master Inventory'!$A:$A,MATCH(50,'Master Inventory'!$J:$J,0)))</f>
        <v/>
      </c>
      <c r="B51" s="8">
        <f>IF($A51="","",INDEX('Master Inventory'!$B:$B,MATCH($A51,'Master Inventory'!$A:$A,0)))</f>
        <v/>
      </c>
      <c r="C51" s="7">
        <f>IF($A51="","",INDEX('Master Inventory'!$G:$G,MATCH($A51,'Master Inventory'!$A:$A,0)))</f>
        <v/>
      </c>
      <c r="D51" s="7">
        <f>IF($A51="","",D50+C51)</f>
        <v/>
      </c>
      <c r="E51" s="9">
        <f>IF($A51="","",D51/SUM('Master Inventory'!$G:$G))</f>
        <v/>
      </c>
      <c r="F51" s="8">
        <f>IF($A51="","",IF(E51&lt;=0.8,"A",IF(E51&lt;=0.95,"B","C")))</f>
        <v/>
      </c>
    </row>
    <row r="52">
      <c r="A52" s="8">
        <f>IF(51&gt;COUNT('Master Inventory'!$G:$G),"",INDEX('Master Inventory'!$A:$A,MATCH(51,'Master Inventory'!$J:$J,0)))</f>
        <v/>
      </c>
      <c r="B52" s="8">
        <f>IF($A52="","",INDEX('Master Inventory'!$B:$B,MATCH($A52,'Master Inventory'!$A:$A,0)))</f>
        <v/>
      </c>
      <c r="C52" s="7">
        <f>IF($A52="","",INDEX('Master Inventory'!$G:$G,MATCH($A52,'Master Inventory'!$A:$A,0)))</f>
        <v/>
      </c>
      <c r="D52" s="7">
        <f>IF($A52="","",D51+C52)</f>
        <v/>
      </c>
      <c r="E52" s="9">
        <f>IF($A52="","",D52/SUM('Master Inventory'!$G:$G))</f>
        <v/>
      </c>
      <c r="F52" s="8">
        <f>IF($A52="","",IF(E52&lt;=0.8,"A",IF(E52&lt;=0.95,"B","C")))</f>
        <v/>
      </c>
    </row>
    <row r="53">
      <c r="A53" s="8">
        <f>IF(52&gt;COUNT('Master Inventory'!$G:$G),"",INDEX('Master Inventory'!$A:$A,MATCH(52,'Master Inventory'!$J:$J,0)))</f>
        <v/>
      </c>
      <c r="B53" s="8">
        <f>IF($A53="","",INDEX('Master Inventory'!$B:$B,MATCH($A53,'Master Inventory'!$A:$A,0)))</f>
        <v/>
      </c>
      <c r="C53" s="7">
        <f>IF($A53="","",INDEX('Master Inventory'!$G:$G,MATCH($A53,'Master Inventory'!$A:$A,0)))</f>
        <v/>
      </c>
      <c r="D53" s="7">
        <f>IF($A53="","",D52+C53)</f>
        <v/>
      </c>
      <c r="E53" s="9">
        <f>IF($A53="","",D53/SUM('Master Inventory'!$G:$G))</f>
        <v/>
      </c>
      <c r="F53" s="8">
        <f>IF($A53="","",IF(E53&lt;=0.8,"A",IF(E53&lt;=0.95,"B","C")))</f>
        <v/>
      </c>
    </row>
    <row r="54">
      <c r="A54" s="8">
        <f>IF(53&gt;COUNT('Master Inventory'!$G:$G),"",INDEX('Master Inventory'!$A:$A,MATCH(53,'Master Inventory'!$J:$J,0)))</f>
        <v/>
      </c>
      <c r="B54" s="8">
        <f>IF($A54="","",INDEX('Master Inventory'!$B:$B,MATCH($A54,'Master Inventory'!$A:$A,0)))</f>
        <v/>
      </c>
      <c r="C54" s="7">
        <f>IF($A54="","",INDEX('Master Inventory'!$G:$G,MATCH($A54,'Master Inventory'!$A:$A,0)))</f>
        <v/>
      </c>
      <c r="D54" s="7">
        <f>IF($A54="","",D53+C54)</f>
        <v/>
      </c>
      <c r="E54" s="9">
        <f>IF($A54="","",D54/SUM('Master Inventory'!$G:$G))</f>
        <v/>
      </c>
      <c r="F54" s="8">
        <f>IF($A54="","",IF(E54&lt;=0.8,"A",IF(E54&lt;=0.95,"B","C")))</f>
        <v/>
      </c>
    </row>
    <row r="55">
      <c r="A55" s="8">
        <f>IF(54&gt;COUNT('Master Inventory'!$G:$G),"",INDEX('Master Inventory'!$A:$A,MATCH(54,'Master Inventory'!$J:$J,0)))</f>
        <v/>
      </c>
      <c r="B55" s="8">
        <f>IF($A55="","",INDEX('Master Inventory'!$B:$B,MATCH($A55,'Master Inventory'!$A:$A,0)))</f>
        <v/>
      </c>
      <c r="C55" s="7">
        <f>IF($A55="","",INDEX('Master Inventory'!$G:$G,MATCH($A55,'Master Inventory'!$A:$A,0)))</f>
        <v/>
      </c>
      <c r="D55" s="7">
        <f>IF($A55="","",D54+C55)</f>
        <v/>
      </c>
      <c r="E55" s="9">
        <f>IF($A55="","",D55/SUM('Master Inventory'!$G:$G))</f>
        <v/>
      </c>
      <c r="F55" s="8">
        <f>IF($A55="","",IF(E55&lt;=0.8,"A",IF(E55&lt;=0.95,"B","C")))</f>
        <v/>
      </c>
    </row>
    <row r="56">
      <c r="A56" s="8">
        <f>IF(55&gt;COUNT('Master Inventory'!$G:$G),"",INDEX('Master Inventory'!$A:$A,MATCH(55,'Master Inventory'!$J:$J,0)))</f>
        <v/>
      </c>
      <c r="B56" s="8">
        <f>IF($A56="","",INDEX('Master Inventory'!$B:$B,MATCH($A56,'Master Inventory'!$A:$A,0)))</f>
        <v/>
      </c>
      <c r="C56" s="7">
        <f>IF($A56="","",INDEX('Master Inventory'!$G:$G,MATCH($A56,'Master Inventory'!$A:$A,0)))</f>
        <v/>
      </c>
      <c r="D56" s="7">
        <f>IF($A56="","",D55+C56)</f>
        <v/>
      </c>
      <c r="E56" s="9">
        <f>IF($A56="","",D56/SUM('Master Inventory'!$G:$G))</f>
        <v/>
      </c>
      <c r="F56" s="8">
        <f>IF($A56="","",IF(E56&lt;=0.8,"A",IF(E56&lt;=0.95,"B","C")))</f>
        <v/>
      </c>
    </row>
    <row r="57">
      <c r="A57" s="8">
        <f>IF(56&gt;COUNT('Master Inventory'!$G:$G),"",INDEX('Master Inventory'!$A:$A,MATCH(56,'Master Inventory'!$J:$J,0)))</f>
        <v/>
      </c>
      <c r="B57" s="8">
        <f>IF($A57="","",INDEX('Master Inventory'!$B:$B,MATCH($A57,'Master Inventory'!$A:$A,0)))</f>
        <v/>
      </c>
      <c r="C57" s="7">
        <f>IF($A57="","",INDEX('Master Inventory'!$G:$G,MATCH($A57,'Master Inventory'!$A:$A,0)))</f>
        <v/>
      </c>
      <c r="D57" s="7">
        <f>IF($A57="","",D56+C57)</f>
        <v/>
      </c>
      <c r="E57" s="9">
        <f>IF($A57="","",D57/SUM('Master Inventory'!$G:$G))</f>
        <v/>
      </c>
      <c r="F57" s="8">
        <f>IF($A57="","",IF(E57&lt;=0.8,"A",IF(E57&lt;=0.95,"B","C")))</f>
        <v/>
      </c>
    </row>
    <row r="58">
      <c r="A58" s="8">
        <f>IF(57&gt;COUNT('Master Inventory'!$G:$G),"",INDEX('Master Inventory'!$A:$A,MATCH(57,'Master Inventory'!$J:$J,0)))</f>
        <v/>
      </c>
      <c r="B58" s="8">
        <f>IF($A58="","",INDEX('Master Inventory'!$B:$B,MATCH($A58,'Master Inventory'!$A:$A,0)))</f>
        <v/>
      </c>
      <c r="C58" s="7">
        <f>IF($A58="","",INDEX('Master Inventory'!$G:$G,MATCH($A58,'Master Inventory'!$A:$A,0)))</f>
        <v/>
      </c>
      <c r="D58" s="7">
        <f>IF($A58="","",D57+C58)</f>
        <v/>
      </c>
      <c r="E58" s="9">
        <f>IF($A58="","",D58/SUM('Master Inventory'!$G:$G))</f>
        <v/>
      </c>
      <c r="F58" s="8">
        <f>IF($A58="","",IF(E58&lt;=0.8,"A",IF(E58&lt;=0.95,"B","C")))</f>
        <v/>
      </c>
    </row>
    <row r="59">
      <c r="A59" s="8">
        <f>IF(58&gt;COUNT('Master Inventory'!$G:$G),"",INDEX('Master Inventory'!$A:$A,MATCH(58,'Master Inventory'!$J:$J,0)))</f>
        <v/>
      </c>
      <c r="B59" s="8">
        <f>IF($A59="","",INDEX('Master Inventory'!$B:$B,MATCH($A59,'Master Inventory'!$A:$A,0)))</f>
        <v/>
      </c>
      <c r="C59" s="7">
        <f>IF($A59="","",INDEX('Master Inventory'!$G:$G,MATCH($A59,'Master Inventory'!$A:$A,0)))</f>
        <v/>
      </c>
      <c r="D59" s="7">
        <f>IF($A59="","",D58+C59)</f>
        <v/>
      </c>
      <c r="E59" s="9">
        <f>IF($A59="","",D59/SUM('Master Inventory'!$G:$G))</f>
        <v/>
      </c>
      <c r="F59" s="8">
        <f>IF($A59="","",IF(E59&lt;=0.8,"A",IF(E59&lt;=0.95,"B","C")))</f>
        <v/>
      </c>
    </row>
    <row r="60">
      <c r="A60" s="8">
        <f>IF(59&gt;COUNT('Master Inventory'!$G:$G),"",INDEX('Master Inventory'!$A:$A,MATCH(59,'Master Inventory'!$J:$J,0)))</f>
        <v/>
      </c>
      <c r="B60" s="8">
        <f>IF($A60="","",INDEX('Master Inventory'!$B:$B,MATCH($A60,'Master Inventory'!$A:$A,0)))</f>
        <v/>
      </c>
      <c r="C60" s="7">
        <f>IF($A60="","",INDEX('Master Inventory'!$G:$G,MATCH($A60,'Master Inventory'!$A:$A,0)))</f>
        <v/>
      </c>
      <c r="D60" s="7">
        <f>IF($A60="","",D59+C60)</f>
        <v/>
      </c>
      <c r="E60" s="9">
        <f>IF($A60="","",D60/SUM('Master Inventory'!$G:$G))</f>
        <v/>
      </c>
      <c r="F60" s="8">
        <f>IF($A60="","",IF(E60&lt;=0.8,"A",IF(E60&lt;=0.95,"B","C")))</f>
        <v/>
      </c>
    </row>
    <row r="61">
      <c r="A61" s="8">
        <f>IF(60&gt;COUNT('Master Inventory'!$G:$G),"",INDEX('Master Inventory'!$A:$A,MATCH(60,'Master Inventory'!$J:$J,0)))</f>
        <v/>
      </c>
      <c r="B61" s="8">
        <f>IF($A61="","",INDEX('Master Inventory'!$B:$B,MATCH($A61,'Master Inventory'!$A:$A,0)))</f>
        <v/>
      </c>
      <c r="C61" s="7">
        <f>IF($A61="","",INDEX('Master Inventory'!$G:$G,MATCH($A61,'Master Inventory'!$A:$A,0)))</f>
        <v/>
      </c>
      <c r="D61" s="7">
        <f>IF($A61="","",D60+C61)</f>
        <v/>
      </c>
      <c r="E61" s="9">
        <f>IF($A61="","",D61/SUM('Master Inventory'!$G:$G))</f>
        <v/>
      </c>
      <c r="F61" s="8">
        <f>IF($A61="","",IF(E61&lt;=0.8,"A",IF(E61&lt;=0.95,"B","C")))</f>
        <v/>
      </c>
    </row>
    <row r="62">
      <c r="A62" s="8">
        <f>IF(61&gt;COUNT('Master Inventory'!$G:$G),"",INDEX('Master Inventory'!$A:$A,MATCH(61,'Master Inventory'!$J:$J,0)))</f>
        <v/>
      </c>
      <c r="B62" s="8">
        <f>IF($A62="","",INDEX('Master Inventory'!$B:$B,MATCH($A62,'Master Inventory'!$A:$A,0)))</f>
        <v/>
      </c>
      <c r="C62" s="7">
        <f>IF($A62="","",INDEX('Master Inventory'!$G:$G,MATCH($A62,'Master Inventory'!$A:$A,0)))</f>
        <v/>
      </c>
      <c r="D62" s="7">
        <f>IF($A62="","",D61+C62)</f>
        <v/>
      </c>
      <c r="E62" s="9">
        <f>IF($A62="","",D62/SUM('Master Inventory'!$G:$G))</f>
        <v/>
      </c>
      <c r="F62" s="8">
        <f>IF($A62="","",IF(E62&lt;=0.8,"A",IF(E62&lt;=0.95,"B","C")))</f>
        <v/>
      </c>
    </row>
    <row r="63">
      <c r="A63" s="8">
        <f>IF(62&gt;COUNT('Master Inventory'!$G:$G),"",INDEX('Master Inventory'!$A:$A,MATCH(62,'Master Inventory'!$J:$J,0)))</f>
        <v/>
      </c>
      <c r="B63" s="8">
        <f>IF($A63="","",INDEX('Master Inventory'!$B:$B,MATCH($A63,'Master Inventory'!$A:$A,0)))</f>
        <v/>
      </c>
      <c r="C63" s="7">
        <f>IF($A63="","",INDEX('Master Inventory'!$G:$G,MATCH($A63,'Master Inventory'!$A:$A,0)))</f>
        <v/>
      </c>
      <c r="D63" s="7">
        <f>IF($A63="","",D62+C63)</f>
        <v/>
      </c>
      <c r="E63" s="9">
        <f>IF($A63="","",D63/SUM('Master Inventory'!$G:$G))</f>
        <v/>
      </c>
      <c r="F63" s="8">
        <f>IF($A63="","",IF(E63&lt;=0.8,"A",IF(E63&lt;=0.95,"B","C")))</f>
        <v/>
      </c>
    </row>
    <row r="64">
      <c r="A64" s="8">
        <f>IF(63&gt;COUNT('Master Inventory'!$G:$G),"",INDEX('Master Inventory'!$A:$A,MATCH(63,'Master Inventory'!$J:$J,0)))</f>
        <v/>
      </c>
      <c r="B64" s="8">
        <f>IF($A64="","",INDEX('Master Inventory'!$B:$B,MATCH($A64,'Master Inventory'!$A:$A,0)))</f>
        <v/>
      </c>
      <c r="C64" s="7">
        <f>IF($A64="","",INDEX('Master Inventory'!$G:$G,MATCH($A64,'Master Inventory'!$A:$A,0)))</f>
        <v/>
      </c>
      <c r="D64" s="7">
        <f>IF($A64="","",D63+C64)</f>
        <v/>
      </c>
      <c r="E64" s="9">
        <f>IF($A64="","",D64/SUM('Master Inventory'!$G:$G))</f>
        <v/>
      </c>
      <c r="F64" s="8">
        <f>IF($A64="","",IF(E64&lt;=0.8,"A",IF(E64&lt;=0.95,"B","C")))</f>
        <v/>
      </c>
    </row>
    <row r="65">
      <c r="A65" s="8">
        <f>IF(64&gt;COUNT('Master Inventory'!$G:$G),"",INDEX('Master Inventory'!$A:$A,MATCH(64,'Master Inventory'!$J:$J,0)))</f>
        <v/>
      </c>
      <c r="B65" s="8">
        <f>IF($A65="","",INDEX('Master Inventory'!$B:$B,MATCH($A65,'Master Inventory'!$A:$A,0)))</f>
        <v/>
      </c>
      <c r="C65" s="7">
        <f>IF($A65="","",INDEX('Master Inventory'!$G:$G,MATCH($A65,'Master Inventory'!$A:$A,0)))</f>
        <v/>
      </c>
      <c r="D65" s="7">
        <f>IF($A65="","",D64+C65)</f>
        <v/>
      </c>
      <c r="E65" s="9">
        <f>IF($A65="","",D65/SUM('Master Inventory'!$G:$G))</f>
        <v/>
      </c>
      <c r="F65" s="8">
        <f>IF($A65="","",IF(E65&lt;=0.8,"A",IF(E65&lt;=0.95,"B","C")))</f>
        <v/>
      </c>
    </row>
    <row r="66">
      <c r="A66" s="8">
        <f>IF(65&gt;COUNT('Master Inventory'!$G:$G),"",INDEX('Master Inventory'!$A:$A,MATCH(65,'Master Inventory'!$J:$J,0)))</f>
        <v/>
      </c>
      <c r="B66" s="8">
        <f>IF($A66="","",INDEX('Master Inventory'!$B:$B,MATCH($A66,'Master Inventory'!$A:$A,0)))</f>
        <v/>
      </c>
      <c r="C66" s="7">
        <f>IF($A66="","",INDEX('Master Inventory'!$G:$G,MATCH($A66,'Master Inventory'!$A:$A,0)))</f>
        <v/>
      </c>
      <c r="D66" s="7">
        <f>IF($A66="","",D65+C66)</f>
        <v/>
      </c>
      <c r="E66" s="9">
        <f>IF($A66="","",D66/SUM('Master Inventory'!$G:$G))</f>
        <v/>
      </c>
      <c r="F66" s="8">
        <f>IF($A66="","",IF(E66&lt;=0.8,"A",IF(E66&lt;=0.95,"B","C")))</f>
        <v/>
      </c>
    </row>
    <row r="67">
      <c r="A67" s="8">
        <f>IF(66&gt;COUNT('Master Inventory'!$G:$G),"",INDEX('Master Inventory'!$A:$A,MATCH(66,'Master Inventory'!$J:$J,0)))</f>
        <v/>
      </c>
      <c r="B67" s="8">
        <f>IF($A67="","",INDEX('Master Inventory'!$B:$B,MATCH($A67,'Master Inventory'!$A:$A,0)))</f>
        <v/>
      </c>
      <c r="C67" s="7">
        <f>IF($A67="","",INDEX('Master Inventory'!$G:$G,MATCH($A67,'Master Inventory'!$A:$A,0)))</f>
        <v/>
      </c>
      <c r="D67" s="7">
        <f>IF($A67="","",D66+C67)</f>
        <v/>
      </c>
      <c r="E67" s="9">
        <f>IF($A67="","",D67/SUM('Master Inventory'!$G:$G))</f>
        <v/>
      </c>
      <c r="F67" s="8">
        <f>IF($A67="","",IF(E67&lt;=0.8,"A",IF(E67&lt;=0.95,"B","C")))</f>
        <v/>
      </c>
    </row>
    <row r="68">
      <c r="A68" s="8">
        <f>IF(67&gt;COUNT('Master Inventory'!$G:$G),"",INDEX('Master Inventory'!$A:$A,MATCH(67,'Master Inventory'!$J:$J,0)))</f>
        <v/>
      </c>
      <c r="B68" s="8">
        <f>IF($A68="","",INDEX('Master Inventory'!$B:$B,MATCH($A68,'Master Inventory'!$A:$A,0)))</f>
        <v/>
      </c>
      <c r="C68" s="7">
        <f>IF($A68="","",INDEX('Master Inventory'!$G:$G,MATCH($A68,'Master Inventory'!$A:$A,0)))</f>
        <v/>
      </c>
      <c r="D68" s="7">
        <f>IF($A68="","",D67+C68)</f>
        <v/>
      </c>
      <c r="E68" s="9">
        <f>IF($A68="","",D68/SUM('Master Inventory'!$G:$G))</f>
        <v/>
      </c>
      <c r="F68" s="8">
        <f>IF($A68="","",IF(E68&lt;=0.8,"A",IF(E68&lt;=0.95,"B","C")))</f>
        <v/>
      </c>
    </row>
    <row r="69">
      <c r="A69" s="8">
        <f>IF(68&gt;COUNT('Master Inventory'!$G:$G),"",INDEX('Master Inventory'!$A:$A,MATCH(68,'Master Inventory'!$J:$J,0)))</f>
        <v/>
      </c>
      <c r="B69" s="8">
        <f>IF($A69="","",INDEX('Master Inventory'!$B:$B,MATCH($A69,'Master Inventory'!$A:$A,0)))</f>
        <v/>
      </c>
      <c r="C69" s="7">
        <f>IF($A69="","",INDEX('Master Inventory'!$G:$G,MATCH($A69,'Master Inventory'!$A:$A,0)))</f>
        <v/>
      </c>
      <c r="D69" s="7">
        <f>IF($A69="","",D68+C69)</f>
        <v/>
      </c>
      <c r="E69" s="9">
        <f>IF($A69="","",D69/SUM('Master Inventory'!$G:$G))</f>
        <v/>
      </c>
      <c r="F69" s="8">
        <f>IF($A69="","",IF(E69&lt;=0.8,"A",IF(E69&lt;=0.95,"B","C")))</f>
        <v/>
      </c>
    </row>
    <row r="70">
      <c r="A70" s="8">
        <f>IF(69&gt;COUNT('Master Inventory'!$G:$G),"",INDEX('Master Inventory'!$A:$A,MATCH(69,'Master Inventory'!$J:$J,0)))</f>
        <v/>
      </c>
      <c r="B70" s="8">
        <f>IF($A70="","",INDEX('Master Inventory'!$B:$B,MATCH($A70,'Master Inventory'!$A:$A,0)))</f>
        <v/>
      </c>
      <c r="C70" s="7">
        <f>IF($A70="","",INDEX('Master Inventory'!$G:$G,MATCH($A70,'Master Inventory'!$A:$A,0)))</f>
        <v/>
      </c>
      <c r="D70" s="7">
        <f>IF($A70="","",D69+C70)</f>
        <v/>
      </c>
      <c r="E70" s="9">
        <f>IF($A70="","",D70/SUM('Master Inventory'!$G:$G))</f>
        <v/>
      </c>
      <c r="F70" s="8">
        <f>IF($A70="","",IF(E70&lt;=0.8,"A",IF(E70&lt;=0.95,"B","C")))</f>
        <v/>
      </c>
    </row>
    <row r="71">
      <c r="A71" s="8">
        <f>IF(70&gt;COUNT('Master Inventory'!$G:$G),"",INDEX('Master Inventory'!$A:$A,MATCH(70,'Master Inventory'!$J:$J,0)))</f>
        <v/>
      </c>
      <c r="B71" s="8">
        <f>IF($A71="","",INDEX('Master Inventory'!$B:$B,MATCH($A71,'Master Inventory'!$A:$A,0)))</f>
        <v/>
      </c>
      <c r="C71" s="7">
        <f>IF($A71="","",INDEX('Master Inventory'!$G:$G,MATCH($A71,'Master Inventory'!$A:$A,0)))</f>
        <v/>
      </c>
      <c r="D71" s="7">
        <f>IF($A71="","",D70+C71)</f>
        <v/>
      </c>
      <c r="E71" s="9">
        <f>IF($A71="","",D71/SUM('Master Inventory'!$G:$G))</f>
        <v/>
      </c>
      <c r="F71" s="8">
        <f>IF($A71="","",IF(E71&lt;=0.8,"A",IF(E71&lt;=0.95,"B","C")))</f>
        <v/>
      </c>
    </row>
    <row r="72">
      <c r="A72" s="8">
        <f>IF(71&gt;COUNT('Master Inventory'!$G:$G),"",INDEX('Master Inventory'!$A:$A,MATCH(71,'Master Inventory'!$J:$J,0)))</f>
        <v/>
      </c>
      <c r="B72" s="8">
        <f>IF($A72="","",INDEX('Master Inventory'!$B:$B,MATCH($A72,'Master Inventory'!$A:$A,0)))</f>
        <v/>
      </c>
      <c r="C72" s="7">
        <f>IF($A72="","",INDEX('Master Inventory'!$G:$G,MATCH($A72,'Master Inventory'!$A:$A,0)))</f>
        <v/>
      </c>
      <c r="D72" s="7">
        <f>IF($A72="","",D71+C72)</f>
        <v/>
      </c>
      <c r="E72" s="9">
        <f>IF($A72="","",D72/SUM('Master Inventory'!$G:$G))</f>
        <v/>
      </c>
      <c r="F72" s="8">
        <f>IF($A72="","",IF(E72&lt;=0.8,"A",IF(E72&lt;=0.95,"B","C")))</f>
        <v/>
      </c>
    </row>
    <row r="73">
      <c r="A73" s="8">
        <f>IF(72&gt;COUNT('Master Inventory'!$G:$G),"",INDEX('Master Inventory'!$A:$A,MATCH(72,'Master Inventory'!$J:$J,0)))</f>
        <v/>
      </c>
      <c r="B73" s="8">
        <f>IF($A73="","",INDEX('Master Inventory'!$B:$B,MATCH($A73,'Master Inventory'!$A:$A,0)))</f>
        <v/>
      </c>
      <c r="C73" s="7">
        <f>IF($A73="","",INDEX('Master Inventory'!$G:$G,MATCH($A73,'Master Inventory'!$A:$A,0)))</f>
        <v/>
      </c>
      <c r="D73" s="7">
        <f>IF($A73="","",D72+C73)</f>
        <v/>
      </c>
      <c r="E73" s="9">
        <f>IF($A73="","",D73/SUM('Master Inventory'!$G:$G))</f>
        <v/>
      </c>
      <c r="F73" s="8">
        <f>IF($A73="","",IF(E73&lt;=0.8,"A",IF(E73&lt;=0.95,"B","C")))</f>
        <v/>
      </c>
    </row>
    <row r="74">
      <c r="A74" s="8">
        <f>IF(73&gt;COUNT('Master Inventory'!$G:$G),"",INDEX('Master Inventory'!$A:$A,MATCH(73,'Master Inventory'!$J:$J,0)))</f>
        <v/>
      </c>
      <c r="B74" s="8">
        <f>IF($A74="","",INDEX('Master Inventory'!$B:$B,MATCH($A74,'Master Inventory'!$A:$A,0)))</f>
        <v/>
      </c>
      <c r="C74" s="7">
        <f>IF($A74="","",INDEX('Master Inventory'!$G:$G,MATCH($A74,'Master Inventory'!$A:$A,0)))</f>
        <v/>
      </c>
      <c r="D74" s="7">
        <f>IF($A74="","",D73+C74)</f>
        <v/>
      </c>
      <c r="E74" s="9">
        <f>IF($A74="","",D74/SUM('Master Inventory'!$G:$G))</f>
        <v/>
      </c>
      <c r="F74" s="8">
        <f>IF($A74="","",IF(E74&lt;=0.8,"A",IF(E74&lt;=0.95,"B","C")))</f>
        <v/>
      </c>
    </row>
    <row r="75">
      <c r="A75" s="8">
        <f>IF(74&gt;COUNT('Master Inventory'!$G:$G),"",INDEX('Master Inventory'!$A:$A,MATCH(74,'Master Inventory'!$J:$J,0)))</f>
        <v/>
      </c>
      <c r="B75" s="8">
        <f>IF($A75="","",INDEX('Master Inventory'!$B:$B,MATCH($A75,'Master Inventory'!$A:$A,0)))</f>
        <v/>
      </c>
      <c r="C75" s="7">
        <f>IF($A75="","",INDEX('Master Inventory'!$G:$G,MATCH($A75,'Master Inventory'!$A:$A,0)))</f>
        <v/>
      </c>
      <c r="D75" s="7">
        <f>IF($A75="","",D74+C75)</f>
        <v/>
      </c>
      <c r="E75" s="9">
        <f>IF($A75="","",D75/SUM('Master Inventory'!$G:$G))</f>
        <v/>
      </c>
      <c r="F75" s="8">
        <f>IF($A75="","",IF(E75&lt;=0.8,"A",IF(E75&lt;=0.95,"B","C")))</f>
        <v/>
      </c>
    </row>
    <row r="76">
      <c r="A76" s="8">
        <f>IF(75&gt;COUNT('Master Inventory'!$G:$G),"",INDEX('Master Inventory'!$A:$A,MATCH(75,'Master Inventory'!$J:$J,0)))</f>
        <v/>
      </c>
      <c r="B76" s="8">
        <f>IF($A76="","",INDEX('Master Inventory'!$B:$B,MATCH($A76,'Master Inventory'!$A:$A,0)))</f>
        <v/>
      </c>
      <c r="C76" s="7">
        <f>IF($A76="","",INDEX('Master Inventory'!$G:$G,MATCH($A76,'Master Inventory'!$A:$A,0)))</f>
        <v/>
      </c>
      <c r="D76" s="7">
        <f>IF($A76="","",D75+C76)</f>
        <v/>
      </c>
      <c r="E76" s="9">
        <f>IF($A76="","",D76/SUM('Master Inventory'!$G:$G))</f>
        <v/>
      </c>
      <c r="F76" s="8">
        <f>IF($A76="","",IF(E76&lt;=0.8,"A",IF(E76&lt;=0.95,"B","C")))</f>
        <v/>
      </c>
    </row>
    <row r="77">
      <c r="A77" s="8">
        <f>IF(76&gt;COUNT('Master Inventory'!$G:$G),"",INDEX('Master Inventory'!$A:$A,MATCH(76,'Master Inventory'!$J:$J,0)))</f>
        <v/>
      </c>
      <c r="B77" s="8">
        <f>IF($A77="","",INDEX('Master Inventory'!$B:$B,MATCH($A77,'Master Inventory'!$A:$A,0)))</f>
        <v/>
      </c>
      <c r="C77" s="7">
        <f>IF($A77="","",INDEX('Master Inventory'!$G:$G,MATCH($A77,'Master Inventory'!$A:$A,0)))</f>
        <v/>
      </c>
      <c r="D77" s="7">
        <f>IF($A77="","",D76+C77)</f>
        <v/>
      </c>
      <c r="E77" s="9">
        <f>IF($A77="","",D77/SUM('Master Inventory'!$G:$G))</f>
        <v/>
      </c>
      <c r="F77" s="8">
        <f>IF($A77="","",IF(E77&lt;=0.8,"A",IF(E77&lt;=0.95,"B","C")))</f>
        <v/>
      </c>
    </row>
    <row r="78">
      <c r="A78" s="8">
        <f>IF(77&gt;COUNT('Master Inventory'!$G:$G),"",INDEX('Master Inventory'!$A:$A,MATCH(77,'Master Inventory'!$J:$J,0)))</f>
        <v/>
      </c>
      <c r="B78" s="8">
        <f>IF($A78="","",INDEX('Master Inventory'!$B:$B,MATCH($A78,'Master Inventory'!$A:$A,0)))</f>
        <v/>
      </c>
      <c r="C78" s="7">
        <f>IF($A78="","",INDEX('Master Inventory'!$G:$G,MATCH($A78,'Master Inventory'!$A:$A,0)))</f>
        <v/>
      </c>
      <c r="D78" s="7">
        <f>IF($A78="","",D77+C78)</f>
        <v/>
      </c>
      <c r="E78" s="9">
        <f>IF($A78="","",D78/SUM('Master Inventory'!$G:$G))</f>
        <v/>
      </c>
      <c r="F78" s="8">
        <f>IF($A78="","",IF(E78&lt;=0.8,"A",IF(E78&lt;=0.95,"B","C")))</f>
        <v/>
      </c>
    </row>
    <row r="79">
      <c r="A79" s="8">
        <f>IF(78&gt;COUNT('Master Inventory'!$G:$G),"",INDEX('Master Inventory'!$A:$A,MATCH(78,'Master Inventory'!$J:$J,0)))</f>
        <v/>
      </c>
      <c r="B79" s="8">
        <f>IF($A79="","",INDEX('Master Inventory'!$B:$B,MATCH($A79,'Master Inventory'!$A:$A,0)))</f>
        <v/>
      </c>
      <c r="C79" s="7">
        <f>IF($A79="","",INDEX('Master Inventory'!$G:$G,MATCH($A79,'Master Inventory'!$A:$A,0)))</f>
        <v/>
      </c>
      <c r="D79" s="7">
        <f>IF($A79="","",D78+C79)</f>
        <v/>
      </c>
      <c r="E79" s="9">
        <f>IF($A79="","",D79/SUM('Master Inventory'!$G:$G))</f>
        <v/>
      </c>
      <c r="F79" s="8">
        <f>IF($A79="","",IF(E79&lt;=0.8,"A",IF(E79&lt;=0.95,"B","C")))</f>
        <v/>
      </c>
    </row>
    <row r="80">
      <c r="A80" s="8">
        <f>IF(79&gt;COUNT('Master Inventory'!$G:$G),"",INDEX('Master Inventory'!$A:$A,MATCH(79,'Master Inventory'!$J:$J,0)))</f>
        <v/>
      </c>
      <c r="B80" s="8">
        <f>IF($A80="","",INDEX('Master Inventory'!$B:$B,MATCH($A80,'Master Inventory'!$A:$A,0)))</f>
        <v/>
      </c>
      <c r="C80" s="7">
        <f>IF($A80="","",INDEX('Master Inventory'!$G:$G,MATCH($A80,'Master Inventory'!$A:$A,0)))</f>
        <v/>
      </c>
      <c r="D80" s="7">
        <f>IF($A80="","",D79+C80)</f>
        <v/>
      </c>
      <c r="E80" s="9">
        <f>IF($A80="","",D80/SUM('Master Inventory'!$G:$G))</f>
        <v/>
      </c>
      <c r="F80" s="8">
        <f>IF($A80="","",IF(E80&lt;=0.8,"A",IF(E80&lt;=0.95,"B","C")))</f>
        <v/>
      </c>
    </row>
    <row r="81">
      <c r="A81" s="8">
        <f>IF(80&gt;COUNT('Master Inventory'!$G:$G),"",INDEX('Master Inventory'!$A:$A,MATCH(80,'Master Inventory'!$J:$J,0)))</f>
        <v/>
      </c>
      <c r="B81" s="8">
        <f>IF($A81="","",INDEX('Master Inventory'!$B:$B,MATCH($A81,'Master Inventory'!$A:$A,0)))</f>
        <v/>
      </c>
      <c r="C81" s="7">
        <f>IF($A81="","",INDEX('Master Inventory'!$G:$G,MATCH($A81,'Master Inventory'!$A:$A,0)))</f>
        <v/>
      </c>
      <c r="D81" s="7">
        <f>IF($A81="","",D80+C81)</f>
        <v/>
      </c>
      <c r="E81" s="9">
        <f>IF($A81="","",D81/SUM('Master Inventory'!$G:$G))</f>
        <v/>
      </c>
      <c r="F81" s="8">
        <f>IF($A81="","",IF(E81&lt;=0.8,"A",IF(E81&lt;=0.95,"B","C")))</f>
        <v/>
      </c>
    </row>
    <row r="82">
      <c r="A82" s="8">
        <f>IF(81&gt;COUNT('Master Inventory'!$G:$G),"",INDEX('Master Inventory'!$A:$A,MATCH(81,'Master Inventory'!$J:$J,0)))</f>
        <v/>
      </c>
      <c r="B82" s="8">
        <f>IF($A82="","",INDEX('Master Inventory'!$B:$B,MATCH($A82,'Master Inventory'!$A:$A,0)))</f>
        <v/>
      </c>
      <c r="C82" s="7">
        <f>IF($A82="","",INDEX('Master Inventory'!$G:$G,MATCH($A82,'Master Inventory'!$A:$A,0)))</f>
        <v/>
      </c>
      <c r="D82" s="7">
        <f>IF($A82="","",D81+C82)</f>
        <v/>
      </c>
      <c r="E82" s="9">
        <f>IF($A82="","",D82/SUM('Master Inventory'!$G:$G))</f>
        <v/>
      </c>
      <c r="F82" s="8">
        <f>IF($A82="","",IF(E82&lt;=0.8,"A",IF(E82&lt;=0.95,"B","C")))</f>
        <v/>
      </c>
    </row>
    <row r="83">
      <c r="A83" s="8">
        <f>IF(82&gt;COUNT('Master Inventory'!$G:$G),"",INDEX('Master Inventory'!$A:$A,MATCH(82,'Master Inventory'!$J:$J,0)))</f>
        <v/>
      </c>
      <c r="B83" s="8">
        <f>IF($A83="","",INDEX('Master Inventory'!$B:$B,MATCH($A83,'Master Inventory'!$A:$A,0)))</f>
        <v/>
      </c>
      <c r="C83" s="7">
        <f>IF($A83="","",INDEX('Master Inventory'!$G:$G,MATCH($A83,'Master Inventory'!$A:$A,0)))</f>
        <v/>
      </c>
      <c r="D83" s="7">
        <f>IF($A83="","",D82+C83)</f>
        <v/>
      </c>
      <c r="E83" s="9">
        <f>IF($A83="","",D83/SUM('Master Inventory'!$G:$G))</f>
        <v/>
      </c>
      <c r="F83" s="8">
        <f>IF($A83="","",IF(E83&lt;=0.8,"A",IF(E83&lt;=0.95,"B","C")))</f>
        <v/>
      </c>
    </row>
    <row r="84">
      <c r="A84" s="8">
        <f>IF(83&gt;COUNT('Master Inventory'!$G:$G),"",INDEX('Master Inventory'!$A:$A,MATCH(83,'Master Inventory'!$J:$J,0)))</f>
        <v/>
      </c>
      <c r="B84" s="8">
        <f>IF($A84="","",INDEX('Master Inventory'!$B:$B,MATCH($A84,'Master Inventory'!$A:$A,0)))</f>
        <v/>
      </c>
      <c r="C84" s="7">
        <f>IF($A84="","",INDEX('Master Inventory'!$G:$G,MATCH($A84,'Master Inventory'!$A:$A,0)))</f>
        <v/>
      </c>
      <c r="D84" s="7">
        <f>IF($A84="","",D83+C84)</f>
        <v/>
      </c>
      <c r="E84" s="9">
        <f>IF($A84="","",D84/SUM('Master Inventory'!$G:$G))</f>
        <v/>
      </c>
      <c r="F84" s="8">
        <f>IF($A84="","",IF(E84&lt;=0.8,"A",IF(E84&lt;=0.95,"B","C")))</f>
        <v/>
      </c>
    </row>
    <row r="85">
      <c r="A85" s="8">
        <f>IF(84&gt;COUNT('Master Inventory'!$G:$G),"",INDEX('Master Inventory'!$A:$A,MATCH(84,'Master Inventory'!$J:$J,0)))</f>
        <v/>
      </c>
      <c r="B85" s="8">
        <f>IF($A85="","",INDEX('Master Inventory'!$B:$B,MATCH($A85,'Master Inventory'!$A:$A,0)))</f>
        <v/>
      </c>
      <c r="C85" s="7">
        <f>IF($A85="","",INDEX('Master Inventory'!$G:$G,MATCH($A85,'Master Inventory'!$A:$A,0)))</f>
        <v/>
      </c>
      <c r="D85" s="7">
        <f>IF($A85="","",D84+C85)</f>
        <v/>
      </c>
      <c r="E85" s="9">
        <f>IF($A85="","",D85/SUM('Master Inventory'!$G:$G))</f>
        <v/>
      </c>
      <c r="F85" s="8">
        <f>IF($A85="","",IF(E85&lt;=0.8,"A",IF(E85&lt;=0.95,"B","C")))</f>
        <v/>
      </c>
    </row>
    <row r="86">
      <c r="A86" s="8">
        <f>IF(85&gt;COUNT('Master Inventory'!$G:$G),"",INDEX('Master Inventory'!$A:$A,MATCH(85,'Master Inventory'!$J:$J,0)))</f>
        <v/>
      </c>
      <c r="B86" s="8">
        <f>IF($A86="","",INDEX('Master Inventory'!$B:$B,MATCH($A86,'Master Inventory'!$A:$A,0)))</f>
        <v/>
      </c>
      <c r="C86" s="7">
        <f>IF($A86="","",INDEX('Master Inventory'!$G:$G,MATCH($A86,'Master Inventory'!$A:$A,0)))</f>
        <v/>
      </c>
      <c r="D86" s="7">
        <f>IF($A86="","",D85+C86)</f>
        <v/>
      </c>
      <c r="E86" s="9">
        <f>IF($A86="","",D86/SUM('Master Inventory'!$G:$G))</f>
        <v/>
      </c>
      <c r="F86" s="8">
        <f>IF($A86="","",IF(E86&lt;=0.8,"A",IF(E86&lt;=0.95,"B","C")))</f>
        <v/>
      </c>
    </row>
    <row r="87">
      <c r="A87" s="8">
        <f>IF(86&gt;COUNT('Master Inventory'!$G:$G),"",INDEX('Master Inventory'!$A:$A,MATCH(86,'Master Inventory'!$J:$J,0)))</f>
        <v/>
      </c>
      <c r="B87" s="8">
        <f>IF($A87="","",INDEX('Master Inventory'!$B:$B,MATCH($A87,'Master Inventory'!$A:$A,0)))</f>
        <v/>
      </c>
      <c r="C87" s="7">
        <f>IF($A87="","",INDEX('Master Inventory'!$G:$G,MATCH($A87,'Master Inventory'!$A:$A,0)))</f>
        <v/>
      </c>
      <c r="D87" s="7">
        <f>IF($A87="","",D86+C87)</f>
        <v/>
      </c>
      <c r="E87" s="9">
        <f>IF($A87="","",D87/SUM('Master Inventory'!$G:$G))</f>
        <v/>
      </c>
      <c r="F87" s="8">
        <f>IF($A87="","",IF(E87&lt;=0.8,"A",IF(E87&lt;=0.95,"B","C")))</f>
        <v/>
      </c>
    </row>
    <row r="88">
      <c r="A88" s="8">
        <f>IF(87&gt;COUNT('Master Inventory'!$G:$G),"",INDEX('Master Inventory'!$A:$A,MATCH(87,'Master Inventory'!$J:$J,0)))</f>
        <v/>
      </c>
      <c r="B88" s="8">
        <f>IF($A88="","",INDEX('Master Inventory'!$B:$B,MATCH($A88,'Master Inventory'!$A:$A,0)))</f>
        <v/>
      </c>
      <c r="C88" s="7">
        <f>IF($A88="","",INDEX('Master Inventory'!$G:$G,MATCH($A88,'Master Inventory'!$A:$A,0)))</f>
        <v/>
      </c>
      <c r="D88" s="7">
        <f>IF($A88="","",D87+C88)</f>
        <v/>
      </c>
      <c r="E88" s="9">
        <f>IF($A88="","",D88/SUM('Master Inventory'!$G:$G))</f>
        <v/>
      </c>
      <c r="F88" s="8">
        <f>IF($A88="","",IF(E88&lt;=0.8,"A",IF(E88&lt;=0.95,"B","C")))</f>
        <v/>
      </c>
    </row>
    <row r="89">
      <c r="A89" s="8">
        <f>IF(88&gt;COUNT('Master Inventory'!$G:$G),"",INDEX('Master Inventory'!$A:$A,MATCH(88,'Master Inventory'!$J:$J,0)))</f>
        <v/>
      </c>
      <c r="B89" s="8">
        <f>IF($A89="","",INDEX('Master Inventory'!$B:$B,MATCH($A89,'Master Inventory'!$A:$A,0)))</f>
        <v/>
      </c>
      <c r="C89" s="7">
        <f>IF($A89="","",INDEX('Master Inventory'!$G:$G,MATCH($A89,'Master Inventory'!$A:$A,0)))</f>
        <v/>
      </c>
      <c r="D89" s="7">
        <f>IF($A89="","",D88+C89)</f>
        <v/>
      </c>
      <c r="E89" s="9">
        <f>IF($A89="","",D89/SUM('Master Inventory'!$G:$G))</f>
        <v/>
      </c>
      <c r="F89" s="8">
        <f>IF($A89="","",IF(E89&lt;=0.8,"A",IF(E89&lt;=0.95,"B","C")))</f>
        <v/>
      </c>
    </row>
    <row r="90">
      <c r="A90" s="8">
        <f>IF(89&gt;COUNT('Master Inventory'!$G:$G),"",INDEX('Master Inventory'!$A:$A,MATCH(89,'Master Inventory'!$J:$J,0)))</f>
        <v/>
      </c>
      <c r="B90" s="8">
        <f>IF($A90="","",INDEX('Master Inventory'!$B:$B,MATCH($A90,'Master Inventory'!$A:$A,0)))</f>
        <v/>
      </c>
      <c r="C90" s="7">
        <f>IF($A90="","",INDEX('Master Inventory'!$G:$G,MATCH($A90,'Master Inventory'!$A:$A,0)))</f>
        <v/>
      </c>
      <c r="D90" s="7">
        <f>IF($A90="","",D89+C90)</f>
        <v/>
      </c>
      <c r="E90" s="9">
        <f>IF($A90="","",D90/SUM('Master Inventory'!$G:$G))</f>
        <v/>
      </c>
      <c r="F90" s="8">
        <f>IF($A90="","",IF(E90&lt;=0.8,"A",IF(E90&lt;=0.95,"B","C")))</f>
        <v/>
      </c>
    </row>
    <row r="91">
      <c r="A91" s="8">
        <f>IF(90&gt;COUNT('Master Inventory'!$G:$G),"",INDEX('Master Inventory'!$A:$A,MATCH(90,'Master Inventory'!$J:$J,0)))</f>
        <v/>
      </c>
      <c r="B91" s="8">
        <f>IF($A91="","",INDEX('Master Inventory'!$B:$B,MATCH($A91,'Master Inventory'!$A:$A,0)))</f>
        <v/>
      </c>
      <c r="C91" s="7">
        <f>IF($A91="","",INDEX('Master Inventory'!$G:$G,MATCH($A91,'Master Inventory'!$A:$A,0)))</f>
        <v/>
      </c>
      <c r="D91" s="7">
        <f>IF($A91="","",D90+C91)</f>
        <v/>
      </c>
      <c r="E91" s="9">
        <f>IF($A91="","",D91/SUM('Master Inventory'!$G:$G))</f>
        <v/>
      </c>
      <c r="F91" s="8">
        <f>IF($A91="","",IF(E91&lt;=0.8,"A",IF(E91&lt;=0.95,"B","C")))</f>
        <v/>
      </c>
    </row>
    <row r="92">
      <c r="A92" s="8">
        <f>IF(91&gt;COUNT('Master Inventory'!$G:$G),"",INDEX('Master Inventory'!$A:$A,MATCH(91,'Master Inventory'!$J:$J,0)))</f>
        <v/>
      </c>
      <c r="B92" s="8">
        <f>IF($A92="","",INDEX('Master Inventory'!$B:$B,MATCH($A92,'Master Inventory'!$A:$A,0)))</f>
        <v/>
      </c>
      <c r="C92" s="7">
        <f>IF($A92="","",INDEX('Master Inventory'!$G:$G,MATCH($A92,'Master Inventory'!$A:$A,0)))</f>
        <v/>
      </c>
      <c r="D92" s="7">
        <f>IF($A92="","",D91+C92)</f>
        <v/>
      </c>
      <c r="E92" s="9">
        <f>IF($A92="","",D92/SUM('Master Inventory'!$G:$G))</f>
        <v/>
      </c>
      <c r="F92" s="8">
        <f>IF($A92="","",IF(E92&lt;=0.8,"A",IF(E92&lt;=0.95,"B","C")))</f>
        <v/>
      </c>
    </row>
    <row r="93">
      <c r="A93" s="8">
        <f>IF(92&gt;COUNT('Master Inventory'!$G:$G),"",INDEX('Master Inventory'!$A:$A,MATCH(92,'Master Inventory'!$J:$J,0)))</f>
        <v/>
      </c>
      <c r="B93" s="8">
        <f>IF($A93="","",INDEX('Master Inventory'!$B:$B,MATCH($A93,'Master Inventory'!$A:$A,0)))</f>
        <v/>
      </c>
      <c r="C93" s="7">
        <f>IF($A93="","",INDEX('Master Inventory'!$G:$G,MATCH($A93,'Master Inventory'!$A:$A,0)))</f>
        <v/>
      </c>
      <c r="D93" s="7">
        <f>IF($A93="","",D92+C93)</f>
        <v/>
      </c>
      <c r="E93" s="9">
        <f>IF($A93="","",D93/SUM('Master Inventory'!$G:$G))</f>
        <v/>
      </c>
      <c r="F93" s="8">
        <f>IF($A93="","",IF(E93&lt;=0.8,"A",IF(E93&lt;=0.95,"B","C")))</f>
        <v/>
      </c>
    </row>
    <row r="94">
      <c r="A94" s="8">
        <f>IF(93&gt;COUNT('Master Inventory'!$G:$G),"",INDEX('Master Inventory'!$A:$A,MATCH(93,'Master Inventory'!$J:$J,0)))</f>
        <v/>
      </c>
      <c r="B94" s="8">
        <f>IF($A94="","",INDEX('Master Inventory'!$B:$B,MATCH($A94,'Master Inventory'!$A:$A,0)))</f>
        <v/>
      </c>
      <c r="C94" s="7">
        <f>IF($A94="","",INDEX('Master Inventory'!$G:$G,MATCH($A94,'Master Inventory'!$A:$A,0)))</f>
        <v/>
      </c>
      <c r="D94" s="7">
        <f>IF($A94="","",D93+C94)</f>
        <v/>
      </c>
      <c r="E94" s="9">
        <f>IF($A94="","",D94/SUM('Master Inventory'!$G:$G))</f>
        <v/>
      </c>
      <c r="F94" s="8">
        <f>IF($A94="","",IF(E94&lt;=0.8,"A",IF(E94&lt;=0.95,"B","C")))</f>
        <v/>
      </c>
    </row>
    <row r="95">
      <c r="A95" s="8">
        <f>IF(94&gt;COUNT('Master Inventory'!$G:$G),"",INDEX('Master Inventory'!$A:$A,MATCH(94,'Master Inventory'!$J:$J,0)))</f>
        <v/>
      </c>
      <c r="B95" s="8">
        <f>IF($A95="","",INDEX('Master Inventory'!$B:$B,MATCH($A95,'Master Inventory'!$A:$A,0)))</f>
        <v/>
      </c>
      <c r="C95" s="7">
        <f>IF($A95="","",INDEX('Master Inventory'!$G:$G,MATCH($A95,'Master Inventory'!$A:$A,0)))</f>
        <v/>
      </c>
      <c r="D95" s="7">
        <f>IF($A95="","",D94+C95)</f>
        <v/>
      </c>
      <c r="E95" s="9">
        <f>IF($A95="","",D95/SUM('Master Inventory'!$G:$G))</f>
        <v/>
      </c>
      <c r="F95" s="8">
        <f>IF($A95="","",IF(E95&lt;=0.8,"A",IF(E95&lt;=0.95,"B","C")))</f>
        <v/>
      </c>
    </row>
    <row r="96">
      <c r="A96" s="8">
        <f>IF(95&gt;COUNT('Master Inventory'!$G:$G),"",INDEX('Master Inventory'!$A:$A,MATCH(95,'Master Inventory'!$J:$J,0)))</f>
        <v/>
      </c>
      <c r="B96" s="8">
        <f>IF($A96="","",INDEX('Master Inventory'!$B:$B,MATCH($A96,'Master Inventory'!$A:$A,0)))</f>
        <v/>
      </c>
      <c r="C96" s="7">
        <f>IF($A96="","",INDEX('Master Inventory'!$G:$G,MATCH($A96,'Master Inventory'!$A:$A,0)))</f>
        <v/>
      </c>
      <c r="D96" s="7">
        <f>IF($A96="","",D95+C96)</f>
        <v/>
      </c>
      <c r="E96" s="9">
        <f>IF($A96="","",D96/SUM('Master Inventory'!$G:$G))</f>
        <v/>
      </c>
      <c r="F96" s="8">
        <f>IF($A96="","",IF(E96&lt;=0.8,"A",IF(E96&lt;=0.95,"B","C")))</f>
        <v/>
      </c>
    </row>
    <row r="97">
      <c r="A97" s="8">
        <f>IF(96&gt;COUNT('Master Inventory'!$G:$G),"",INDEX('Master Inventory'!$A:$A,MATCH(96,'Master Inventory'!$J:$J,0)))</f>
        <v/>
      </c>
      <c r="B97" s="8">
        <f>IF($A97="","",INDEX('Master Inventory'!$B:$B,MATCH($A97,'Master Inventory'!$A:$A,0)))</f>
        <v/>
      </c>
      <c r="C97" s="7">
        <f>IF($A97="","",INDEX('Master Inventory'!$G:$G,MATCH($A97,'Master Inventory'!$A:$A,0)))</f>
        <v/>
      </c>
      <c r="D97" s="7">
        <f>IF($A97="","",D96+C97)</f>
        <v/>
      </c>
      <c r="E97" s="9">
        <f>IF($A97="","",D97/SUM('Master Inventory'!$G:$G))</f>
        <v/>
      </c>
      <c r="F97" s="8">
        <f>IF($A97="","",IF(E97&lt;=0.8,"A",IF(E97&lt;=0.95,"B","C")))</f>
        <v/>
      </c>
    </row>
    <row r="98">
      <c r="A98" s="8">
        <f>IF(97&gt;COUNT('Master Inventory'!$G:$G),"",INDEX('Master Inventory'!$A:$A,MATCH(97,'Master Inventory'!$J:$J,0)))</f>
        <v/>
      </c>
      <c r="B98" s="8">
        <f>IF($A98="","",INDEX('Master Inventory'!$B:$B,MATCH($A98,'Master Inventory'!$A:$A,0)))</f>
        <v/>
      </c>
      <c r="C98" s="7">
        <f>IF($A98="","",INDEX('Master Inventory'!$G:$G,MATCH($A98,'Master Inventory'!$A:$A,0)))</f>
        <v/>
      </c>
      <c r="D98" s="7">
        <f>IF($A98="","",D97+C98)</f>
        <v/>
      </c>
      <c r="E98" s="9">
        <f>IF($A98="","",D98/SUM('Master Inventory'!$G:$G))</f>
        <v/>
      </c>
      <c r="F98" s="8">
        <f>IF($A98="","",IF(E98&lt;=0.8,"A",IF(E98&lt;=0.95,"B","C")))</f>
        <v/>
      </c>
    </row>
    <row r="99">
      <c r="A99" s="8">
        <f>IF(98&gt;COUNT('Master Inventory'!$G:$G),"",INDEX('Master Inventory'!$A:$A,MATCH(98,'Master Inventory'!$J:$J,0)))</f>
        <v/>
      </c>
      <c r="B99" s="8">
        <f>IF($A99="","",INDEX('Master Inventory'!$B:$B,MATCH($A99,'Master Inventory'!$A:$A,0)))</f>
        <v/>
      </c>
      <c r="C99" s="7">
        <f>IF($A99="","",INDEX('Master Inventory'!$G:$G,MATCH($A99,'Master Inventory'!$A:$A,0)))</f>
        <v/>
      </c>
      <c r="D99" s="7">
        <f>IF($A99="","",D98+C99)</f>
        <v/>
      </c>
      <c r="E99" s="9">
        <f>IF($A99="","",D99/SUM('Master Inventory'!$G:$G))</f>
        <v/>
      </c>
      <c r="F99" s="8">
        <f>IF($A99="","",IF(E99&lt;=0.8,"A",IF(E99&lt;=0.95,"B","C")))</f>
        <v/>
      </c>
    </row>
    <row r="100">
      <c r="A100" s="8">
        <f>IF(99&gt;COUNT('Master Inventory'!$G:$G),"",INDEX('Master Inventory'!$A:$A,MATCH(99,'Master Inventory'!$J:$J,0)))</f>
        <v/>
      </c>
      <c r="B100" s="8">
        <f>IF($A100="","",INDEX('Master Inventory'!$B:$B,MATCH($A100,'Master Inventory'!$A:$A,0)))</f>
        <v/>
      </c>
      <c r="C100" s="7">
        <f>IF($A100="","",INDEX('Master Inventory'!$G:$G,MATCH($A100,'Master Inventory'!$A:$A,0)))</f>
        <v/>
      </c>
      <c r="D100" s="7">
        <f>IF($A100="","",D99+C100)</f>
        <v/>
      </c>
      <c r="E100" s="9">
        <f>IF($A100="","",D100/SUM('Master Inventory'!$G:$G))</f>
        <v/>
      </c>
      <c r="F100" s="8">
        <f>IF($A100="","",IF(E100&lt;=0.8,"A",IF(E100&lt;=0.95,"B","C")))</f>
        <v/>
      </c>
    </row>
    <row r="101">
      <c r="A101" s="8">
        <f>IF(100&gt;COUNT('Master Inventory'!$G:$G),"",INDEX('Master Inventory'!$A:$A,MATCH(100,'Master Inventory'!$J:$J,0)))</f>
        <v/>
      </c>
      <c r="B101" s="8">
        <f>IF($A101="","",INDEX('Master Inventory'!$B:$B,MATCH($A101,'Master Inventory'!$A:$A,0)))</f>
        <v/>
      </c>
      <c r="C101" s="7">
        <f>IF($A101="","",INDEX('Master Inventory'!$G:$G,MATCH($A101,'Master Inventory'!$A:$A,0)))</f>
        <v/>
      </c>
      <c r="D101" s="7">
        <f>IF($A101="","",D100+C101)</f>
        <v/>
      </c>
      <c r="E101" s="9">
        <f>IF($A101="","",D101/SUM('Master Inventory'!$G:$G))</f>
        <v/>
      </c>
      <c r="F101" s="8">
        <f>IF($A101="","",IF(E101&lt;=0.8,"A",IF(E101&lt;=0.95,"B","C")))</f>
        <v/>
      </c>
    </row>
    <row r="102">
      <c r="A102" s="8">
        <f>IF(101&gt;COUNT('Master Inventory'!$G:$G),"",INDEX('Master Inventory'!$A:$A,MATCH(101,'Master Inventory'!$J:$J,0)))</f>
        <v/>
      </c>
      <c r="B102" s="8">
        <f>IF($A102="","",INDEX('Master Inventory'!$B:$B,MATCH($A102,'Master Inventory'!$A:$A,0)))</f>
        <v/>
      </c>
      <c r="C102" s="7">
        <f>IF($A102="","",INDEX('Master Inventory'!$G:$G,MATCH($A102,'Master Inventory'!$A:$A,0)))</f>
        <v/>
      </c>
      <c r="D102" s="7">
        <f>IF($A102="","",D101+C102)</f>
        <v/>
      </c>
      <c r="E102" s="9">
        <f>IF($A102="","",D102/SUM('Master Inventory'!$G:$G))</f>
        <v/>
      </c>
      <c r="F102" s="8">
        <f>IF($A102="","",IF(E102&lt;=0.8,"A",IF(E102&lt;=0.95,"B","C")))</f>
        <v/>
      </c>
    </row>
    <row r="103">
      <c r="A103" s="8">
        <f>IF(102&gt;COUNT('Master Inventory'!$G:$G),"",INDEX('Master Inventory'!$A:$A,MATCH(102,'Master Inventory'!$J:$J,0)))</f>
        <v/>
      </c>
      <c r="B103" s="8">
        <f>IF($A103="","",INDEX('Master Inventory'!$B:$B,MATCH($A103,'Master Inventory'!$A:$A,0)))</f>
        <v/>
      </c>
      <c r="C103" s="7">
        <f>IF($A103="","",INDEX('Master Inventory'!$G:$G,MATCH($A103,'Master Inventory'!$A:$A,0)))</f>
        <v/>
      </c>
      <c r="D103" s="7">
        <f>IF($A103="","",D102+C103)</f>
        <v/>
      </c>
      <c r="E103" s="9">
        <f>IF($A103="","",D103/SUM('Master Inventory'!$G:$G))</f>
        <v/>
      </c>
      <c r="F103" s="8">
        <f>IF($A103="","",IF(E103&lt;=0.8,"A",IF(E103&lt;=0.95,"B","C")))</f>
        <v/>
      </c>
    </row>
    <row r="104">
      <c r="A104" s="8">
        <f>IF(103&gt;COUNT('Master Inventory'!$G:$G),"",INDEX('Master Inventory'!$A:$A,MATCH(103,'Master Inventory'!$J:$J,0)))</f>
        <v/>
      </c>
      <c r="B104" s="8">
        <f>IF($A104="","",INDEX('Master Inventory'!$B:$B,MATCH($A104,'Master Inventory'!$A:$A,0)))</f>
        <v/>
      </c>
      <c r="C104" s="7">
        <f>IF($A104="","",INDEX('Master Inventory'!$G:$G,MATCH($A104,'Master Inventory'!$A:$A,0)))</f>
        <v/>
      </c>
      <c r="D104" s="7">
        <f>IF($A104="","",D103+C104)</f>
        <v/>
      </c>
      <c r="E104" s="9">
        <f>IF($A104="","",D104/SUM('Master Inventory'!$G:$G))</f>
        <v/>
      </c>
      <c r="F104" s="8">
        <f>IF($A104="","",IF(E104&lt;=0.8,"A",IF(E104&lt;=0.95,"B","C")))</f>
        <v/>
      </c>
    </row>
    <row r="105">
      <c r="A105" s="8">
        <f>IF(104&gt;COUNT('Master Inventory'!$G:$G),"",INDEX('Master Inventory'!$A:$A,MATCH(104,'Master Inventory'!$J:$J,0)))</f>
        <v/>
      </c>
      <c r="B105" s="8">
        <f>IF($A105="","",INDEX('Master Inventory'!$B:$B,MATCH($A105,'Master Inventory'!$A:$A,0)))</f>
        <v/>
      </c>
      <c r="C105" s="7">
        <f>IF($A105="","",INDEX('Master Inventory'!$G:$G,MATCH($A105,'Master Inventory'!$A:$A,0)))</f>
        <v/>
      </c>
      <c r="D105" s="7">
        <f>IF($A105="","",D104+C105)</f>
        <v/>
      </c>
      <c r="E105" s="9">
        <f>IF($A105="","",D105/SUM('Master Inventory'!$G:$G))</f>
        <v/>
      </c>
      <c r="F105" s="8">
        <f>IF($A105="","",IF(E105&lt;=0.8,"A",IF(E105&lt;=0.95,"B","C")))</f>
        <v/>
      </c>
    </row>
    <row r="106">
      <c r="A106" s="8">
        <f>IF(105&gt;COUNT('Master Inventory'!$G:$G),"",INDEX('Master Inventory'!$A:$A,MATCH(105,'Master Inventory'!$J:$J,0)))</f>
        <v/>
      </c>
      <c r="B106" s="8">
        <f>IF($A106="","",INDEX('Master Inventory'!$B:$B,MATCH($A106,'Master Inventory'!$A:$A,0)))</f>
        <v/>
      </c>
      <c r="C106" s="7">
        <f>IF($A106="","",INDEX('Master Inventory'!$G:$G,MATCH($A106,'Master Inventory'!$A:$A,0)))</f>
        <v/>
      </c>
      <c r="D106" s="7">
        <f>IF($A106="","",D105+C106)</f>
        <v/>
      </c>
      <c r="E106" s="9">
        <f>IF($A106="","",D106/SUM('Master Inventory'!$G:$G))</f>
        <v/>
      </c>
      <c r="F106" s="8">
        <f>IF($A106="","",IF(E106&lt;=0.8,"A",IF(E106&lt;=0.95,"B","C")))</f>
        <v/>
      </c>
    </row>
    <row r="107">
      <c r="A107" s="8">
        <f>IF(106&gt;COUNT('Master Inventory'!$G:$G),"",INDEX('Master Inventory'!$A:$A,MATCH(106,'Master Inventory'!$J:$J,0)))</f>
        <v/>
      </c>
      <c r="B107" s="8">
        <f>IF($A107="","",INDEX('Master Inventory'!$B:$B,MATCH($A107,'Master Inventory'!$A:$A,0)))</f>
        <v/>
      </c>
      <c r="C107" s="7">
        <f>IF($A107="","",INDEX('Master Inventory'!$G:$G,MATCH($A107,'Master Inventory'!$A:$A,0)))</f>
        <v/>
      </c>
      <c r="D107" s="7">
        <f>IF($A107="","",D106+C107)</f>
        <v/>
      </c>
      <c r="E107" s="9">
        <f>IF($A107="","",D107/SUM('Master Inventory'!$G:$G))</f>
        <v/>
      </c>
      <c r="F107" s="8">
        <f>IF($A107="","",IF(E107&lt;=0.8,"A",IF(E107&lt;=0.95,"B","C")))</f>
        <v/>
      </c>
    </row>
    <row r="108">
      <c r="A108" s="8">
        <f>IF(107&gt;COUNT('Master Inventory'!$G:$G),"",INDEX('Master Inventory'!$A:$A,MATCH(107,'Master Inventory'!$J:$J,0)))</f>
        <v/>
      </c>
      <c r="B108" s="8">
        <f>IF($A108="","",INDEX('Master Inventory'!$B:$B,MATCH($A108,'Master Inventory'!$A:$A,0)))</f>
        <v/>
      </c>
      <c r="C108" s="7">
        <f>IF($A108="","",INDEX('Master Inventory'!$G:$G,MATCH($A108,'Master Inventory'!$A:$A,0)))</f>
        <v/>
      </c>
      <c r="D108" s="7">
        <f>IF($A108="","",D107+C108)</f>
        <v/>
      </c>
      <c r="E108" s="9">
        <f>IF($A108="","",D108/SUM('Master Inventory'!$G:$G))</f>
        <v/>
      </c>
      <c r="F108" s="8">
        <f>IF($A108="","",IF(E108&lt;=0.8,"A",IF(E108&lt;=0.95,"B","C")))</f>
        <v/>
      </c>
    </row>
    <row r="109">
      <c r="A109" s="8">
        <f>IF(108&gt;COUNT('Master Inventory'!$G:$G),"",INDEX('Master Inventory'!$A:$A,MATCH(108,'Master Inventory'!$J:$J,0)))</f>
        <v/>
      </c>
      <c r="B109" s="8">
        <f>IF($A109="","",INDEX('Master Inventory'!$B:$B,MATCH($A109,'Master Inventory'!$A:$A,0)))</f>
        <v/>
      </c>
      <c r="C109" s="7">
        <f>IF($A109="","",INDEX('Master Inventory'!$G:$G,MATCH($A109,'Master Inventory'!$A:$A,0)))</f>
        <v/>
      </c>
      <c r="D109" s="7">
        <f>IF($A109="","",D108+C109)</f>
        <v/>
      </c>
      <c r="E109" s="9">
        <f>IF($A109="","",D109/SUM('Master Inventory'!$G:$G))</f>
        <v/>
      </c>
      <c r="F109" s="8">
        <f>IF($A109="","",IF(E109&lt;=0.8,"A",IF(E109&lt;=0.95,"B","C")))</f>
        <v/>
      </c>
    </row>
    <row r="110">
      <c r="A110" s="8">
        <f>IF(109&gt;COUNT('Master Inventory'!$G:$G),"",INDEX('Master Inventory'!$A:$A,MATCH(109,'Master Inventory'!$J:$J,0)))</f>
        <v/>
      </c>
      <c r="B110" s="8">
        <f>IF($A110="","",INDEX('Master Inventory'!$B:$B,MATCH($A110,'Master Inventory'!$A:$A,0)))</f>
        <v/>
      </c>
      <c r="C110" s="7">
        <f>IF($A110="","",INDEX('Master Inventory'!$G:$G,MATCH($A110,'Master Inventory'!$A:$A,0)))</f>
        <v/>
      </c>
      <c r="D110" s="7">
        <f>IF($A110="","",D109+C110)</f>
        <v/>
      </c>
      <c r="E110" s="9">
        <f>IF($A110="","",D110/SUM('Master Inventory'!$G:$G))</f>
        <v/>
      </c>
      <c r="F110" s="8">
        <f>IF($A110="","",IF(E110&lt;=0.8,"A",IF(E110&lt;=0.95,"B","C")))</f>
        <v/>
      </c>
    </row>
    <row r="111">
      <c r="A111" s="8">
        <f>IF(110&gt;COUNT('Master Inventory'!$G:$G),"",INDEX('Master Inventory'!$A:$A,MATCH(110,'Master Inventory'!$J:$J,0)))</f>
        <v/>
      </c>
      <c r="B111" s="8">
        <f>IF($A111="","",INDEX('Master Inventory'!$B:$B,MATCH($A111,'Master Inventory'!$A:$A,0)))</f>
        <v/>
      </c>
      <c r="C111" s="7">
        <f>IF($A111="","",INDEX('Master Inventory'!$G:$G,MATCH($A111,'Master Inventory'!$A:$A,0)))</f>
        <v/>
      </c>
      <c r="D111" s="7">
        <f>IF($A111="","",D110+C111)</f>
        <v/>
      </c>
      <c r="E111" s="9">
        <f>IF($A111="","",D111/SUM('Master Inventory'!$G:$G))</f>
        <v/>
      </c>
      <c r="F111" s="8">
        <f>IF($A111="","",IF(E111&lt;=0.8,"A",IF(E111&lt;=0.95,"B","C")))</f>
        <v/>
      </c>
    </row>
    <row r="112">
      <c r="A112" s="8">
        <f>IF(111&gt;COUNT('Master Inventory'!$G:$G),"",INDEX('Master Inventory'!$A:$A,MATCH(111,'Master Inventory'!$J:$J,0)))</f>
        <v/>
      </c>
      <c r="B112" s="8">
        <f>IF($A112="","",INDEX('Master Inventory'!$B:$B,MATCH($A112,'Master Inventory'!$A:$A,0)))</f>
        <v/>
      </c>
      <c r="C112" s="7">
        <f>IF($A112="","",INDEX('Master Inventory'!$G:$G,MATCH($A112,'Master Inventory'!$A:$A,0)))</f>
        <v/>
      </c>
      <c r="D112" s="7">
        <f>IF($A112="","",D111+C112)</f>
        <v/>
      </c>
      <c r="E112" s="9">
        <f>IF($A112="","",D112/SUM('Master Inventory'!$G:$G))</f>
        <v/>
      </c>
      <c r="F112" s="8">
        <f>IF($A112="","",IF(E112&lt;=0.8,"A",IF(E112&lt;=0.95,"B","C")))</f>
        <v/>
      </c>
    </row>
    <row r="113">
      <c r="A113" s="8">
        <f>IF(112&gt;COUNT('Master Inventory'!$G:$G),"",INDEX('Master Inventory'!$A:$A,MATCH(112,'Master Inventory'!$J:$J,0)))</f>
        <v/>
      </c>
      <c r="B113" s="8">
        <f>IF($A113="","",INDEX('Master Inventory'!$B:$B,MATCH($A113,'Master Inventory'!$A:$A,0)))</f>
        <v/>
      </c>
      <c r="C113" s="7">
        <f>IF($A113="","",INDEX('Master Inventory'!$G:$G,MATCH($A113,'Master Inventory'!$A:$A,0)))</f>
        <v/>
      </c>
      <c r="D113" s="7">
        <f>IF($A113="","",D112+C113)</f>
        <v/>
      </c>
      <c r="E113" s="9">
        <f>IF($A113="","",D113/SUM('Master Inventory'!$G:$G))</f>
        <v/>
      </c>
      <c r="F113" s="8">
        <f>IF($A113="","",IF(E113&lt;=0.8,"A",IF(E113&lt;=0.95,"B","C")))</f>
        <v/>
      </c>
    </row>
    <row r="114">
      <c r="A114" s="8">
        <f>IF(113&gt;COUNT('Master Inventory'!$G:$G),"",INDEX('Master Inventory'!$A:$A,MATCH(113,'Master Inventory'!$J:$J,0)))</f>
        <v/>
      </c>
      <c r="B114" s="8">
        <f>IF($A114="","",INDEX('Master Inventory'!$B:$B,MATCH($A114,'Master Inventory'!$A:$A,0)))</f>
        <v/>
      </c>
      <c r="C114" s="7">
        <f>IF($A114="","",INDEX('Master Inventory'!$G:$G,MATCH($A114,'Master Inventory'!$A:$A,0)))</f>
        <v/>
      </c>
      <c r="D114" s="7">
        <f>IF($A114="","",D113+C114)</f>
        <v/>
      </c>
      <c r="E114" s="9">
        <f>IF($A114="","",D114/SUM('Master Inventory'!$G:$G))</f>
        <v/>
      </c>
      <c r="F114" s="8">
        <f>IF($A114="","",IF(E114&lt;=0.8,"A",IF(E114&lt;=0.95,"B","C")))</f>
        <v/>
      </c>
    </row>
    <row r="115">
      <c r="A115" s="8">
        <f>IF(114&gt;COUNT('Master Inventory'!$G:$G),"",INDEX('Master Inventory'!$A:$A,MATCH(114,'Master Inventory'!$J:$J,0)))</f>
        <v/>
      </c>
      <c r="B115" s="8">
        <f>IF($A115="","",INDEX('Master Inventory'!$B:$B,MATCH($A115,'Master Inventory'!$A:$A,0)))</f>
        <v/>
      </c>
      <c r="C115" s="7">
        <f>IF($A115="","",INDEX('Master Inventory'!$G:$G,MATCH($A115,'Master Inventory'!$A:$A,0)))</f>
        <v/>
      </c>
      <c r="D115" s="7">
        <f>IF($A115="","",D114+C115)</f>
        <v/>
      </c>
      <c r="E115" s="9">
        <f>IF($A115="","",D115/SUM('Master Inventory'!$G:$G))</f>
        <v/>
      </c>
      <c r="F115" s="8">
        <f>IF($A115="","",IF(E115&lt;=0.8,"A",IF(E115&lt;=0.95,"B","C")))</f>
        <v/>
      </c>
    </row>
    <row r="116">
      <c r="A116" s="8">
        <f>IF(115&gt;COUNT('Master Inventory'!$G:$G),"",INDEX('Master Inventory'!$A:$A,MATCH(115,'Master Inventory'!$J:$J,0)))</f>
        <v/>
      </c>
      <c r="B116" s="8">
        <f>IF($A116="","",INDEX('Master Inventory'!$B:$B,MATCH($A116,'Master Inventory'!$A:$A,0)))</f>
        <v/>
      </c>
      <c r="C116" s="7">
        <f>IF($A116="","",INDEX('Master Inventory'!$G:$G,MATCH($A116,'Master Inventory'!$A:$A,0)))</f>
        <v/>
      </c>
      <c r="D116" s="7">
        <f>IF($A116="","",D115+C116)</f>
        <v/>
      </c>
      <c r="E116" s="9">
        <f>IF($A116="","",D116/SUM('Master Inventory'!$G:$G))</f>
        <v/>
      </c>
      <c r="F116" s="8">
        <f>IF($A116="","",IF(E116&lt;=0.8,"A",IF(E116&lt;=0.95,"B","C")))</f>
        <v/>
      </c>
    </row>
    <row r="117">
      <c r="A117" s="8">
        <f>IF(116&gt;COUNT('Master Inventory'!$G:$G),"",INDEX('Master Inventory'!$A:$A,MATCH(116,'Master Inventory'!$J:$J,0)))</f>
        <v/>
      </c>
      <c r="B117" s="8">
        <f>IF($A117="","",INDEX('Master Inventory'!$B:$B,MATCH($A117,'Master Inventory'!$A:$A,0)))</f>
        <v/>
      </c>
      <c r="C117" s="7">
        <f>IF($A117="","",INDEX('Master Inventory'!$G:$G,MATCH($A117,'Master Inventory'!$A:$A,0)))</f>
        <v/>
      </c>
      <c r="D117" s="7">
        <f>IF($A117="","",D116+C117)</f>
        <v/>
      </c>
      <c r="E117" s="9">
        <f>IF($A117="","",D117/SUM('Master Inventory'!$G:$G))</f>
        <v/>
      </c>
      <c r="F117" s="8">
        <f>IF($A117="","",IF(E117&lt;=0.8,"A",IF(E117&lt;=0.95,"B","C")))</f>
        <v/>
      </c>
    </row>
    <row r="118">
      <c r="A118" s="8">
        <f>IF(117&gt;COUNT('Master Inventory'!$G:$G),"",INDEX('Master Inventory'!$A:$A,MATCH(117,'Master Inventory'!$J:$J,0)))</f>
        <v/>
      </c>
      <c r="B118" s="8">
        <f>IF($A118="","",INDEX('Master Inventory'!$B:$B,MATCH($A118,'Master Inventory'!$A:$A,0)))</f>
        <v/>
      </c>
      <c r="C118" s="7">
        <f>IF($A118="","",INDEX('Master Inventory'!$G:$G,MATCH($A118,'Master Inventory'!$A:$A,0)))</f>
        <v/>
      </c>
      <c r="D118" s="7">
        <f>IF($A118="","",D117+C118)</f>
        <v/>
      </c>
      <c r="E118" s="9">
        <f>IF($A118="","",D118/SUM('Master Inventory'!$G:$G))</f>
        <v/>
      </c>
      <c r="F118" s="8">
        <f>IF($A118="","",IF(E118&lt;=0.8,"A",IF(E118&lt;=0.95,"B","C")))</f>
        <v/>
      </c>
    </row>
    <row r="119">
      <c r="A119" s="8">
        <f>IF(118&gt;COUNT('Master Inventory'!$G:$G),"",INDEX('Master Inventory'!$A:$A,MATCH(118,'Master Inventory'!$J:$J,0)))</f>
        <v/>
      </c>
      <c r="B119" s="8">
        <f>IF($A119="","",INDEX('Master Inventory'!$B:$B,MATCH($A119,'Master Inventory'!$A:$A,0)))</f>
        <v/>
      </c>
      <c r="C119" s="7">
        <f>IF($A119="","",INDEX('Master Inventory'!$G:$G,MATCH($A119,'Master Inventory'!$A:$A,0)))</f>
        <v/>
      </c>
      <c r="D119" s="7">
        <f>IF($A119="","",D118+C119)</f>
        <v/>
      </c>
      <c r="E119" s="9">
        <f>IF($A119="","",D119/SUM('Master Inventory'!$G:$G))</f>
        <v/>
      </c>
      <c r="F119" s="8">
        <f>IF($A119="","",IF(E119&lt;=0.8,"A",IF(E119&lt;=0.95,"B","C")))</f>
        <v/>
      </c>
    </row>
    <row r="120">
      <c r="A120" s="8">
        <f>IF(119&gt;COUNT('Master Inventory'!$G:$G),"",INDEX('Master Inventory'!$A:$A,MATCH(119,'Master Inventory'!$J:$J,0)))</f>
        <v/>
      </c>
      <c r="B120" s="8">
        <f>IF($A120="","",INDEX('Master Inventory'!$B:$B,MATCH($A120,'Master Inventory'!$A:$A,0)))</f>
        <v/>
      </c>
      <c r="C120" s="7">
        <f>IF($A120="","",INDEX('Master Inventory'!$G:$G,MATCH($A120,'Master Inventory'!$A:$A,0)))</f>
        <v/>
      </c>
      <c r="D120" s="7">
        <f>IF($A120="","",D119+C120)</f>
        <v/>
      </c>
      <c r="E120" s="9">
        <f>IF($A120="","",D120/SUM('Master Inventory'!$G:$G))</f>
        <v/>
      </c>
      <c r="F120" s="8">
        <f>IF($A120="","",IF(E120&lt;=0.8,"A",IF(E120&lt;=0.95,"B","C")))</f>
        <v/>
      </c>
    </row>
    <row r="121">
      <c r="A121" s="8">
        <f>IF(120&gt;COUNT('Master Inventory'!$G:$G),"",INDEX('Master Inventory'!$A:$A,MATCH(120,'Master Inventory'!$J:$J,0)))</f>
        <v/>
      </c>
      <c r="B121" s="8">
        <f>IF($A121="","",INDEX('Master Inventory'!$B:$B,MATCH($A121,'Master Inventory'!$A:$A,0)))</f>
        <v/>
      </c>
      <c r="C121" s="7">
        <f>IF($A121="","",INDEX('Master Inventory'!$G:$G,MATCH($A121,'Master Inventory'!$A:$A,0)))</f>
        <v/>
      </c>
      <c r="D121" s="7">
        <f>IF($A121="","",D120+C121)</f>
        <v/>
      </c>
      <c r="E121" s="9">
        <f>IF($A121="","",D121/SUM('Master Inventory'!$G:$G))</f>
        <v/>
      </c>
      <c r="F121" s="8">
        <f>IF($A121="","",IF(E121&lt;=0.8,"A",IF(E121&lt;=0.95,"B","C")))</f>
        <v/>
      </c>
    </row>
    <row r="122">
      <c r="A122" s="8">
        <f>IF(121&gt;COUNT('Master Inventory'!$G:$G),"",INDEX('Master Inventory'!$A:$A,MATCH(121,'Master Inventory'!$J:$J,0)))</f>
        <v/>
      </c>
      <c r="B122" s="8">
        <f>IF($A122="","",INDEX('Master Inventory'!$B:$B,MATCH($A122,'Master Inventory'!$A:$A,0)))</f>
        <v/>
      </c>
      <c r="C122" s="7">
        <f>IF($A122="","",INDEX('Master Inventory'!$G:$G,MATCH($A122,'Master Inventory'!$A:$A,0)))</f>
        <v/>
      </c>
      <c r="D122" s="7">
        <f>IF($A122="","",D121+C122)</f>
        <v/>
      </c>
      <c r="E122" s="9">
        <f>IF($A122="","",D122/SUM('Master Inventory'!$G:$G))</f>
        <v/>
      </c>
      <c r="F122" s="8">
        <f>IF($A122="","",IF(E122&lt;=0.8,"A",IF(E122&lt;=0.95,"B","C")))</f>
        <v/>
      </c>
    </row>
    <row r="123">
      <c r="A123" s="8">
        <f>IF(122&gt;COUNT('Master Inventory'!$G:$G),"",INDEX('Master Inventory'!$A:$A,MATCH(122,'Master Inventory'!$J:$J,0)))</f>
        <v/>
      </c>
      <c r="B123" s="8">
        <f>IF($A123="","",INDEX('Master Inventory'!$B:$B,MATCH($A123,'Master Inventory'!$A:$A,0)))</f>
        <v/>
      </c>
      <c r="C123" s="7">
        <f>IF($A123="","",INDEX('Master Inventory'!$G:$G,MATCH($A123,'Master Inventory'!$A:$A,0)))</f>
        <v/>
      </c>
      <c r="D123" s="7">
        <f>IF($A123="","",D122+C123)</f>
        <v/>
      </c>
      <c r="E123" s="9">
        <f>IF($A123="","",D123/SUM('Master Inventory'!$G:$G))</f>
        <v/>
      </c>
      <c r="F123" s="8">
        <f>IF($A123="","",IF(E123&lt;=0.8,"A",IF(E123&lt;=0.95,"B","C")))</f>
        <v/>
      </c>
    </row>
    <row r="124">
      <c r="A124" s="8">
        <f>IF(123&gt;COUNT('Master Inventory'!$G:$G),"",INDEX('Master Inventory'!$A:$A,MATCH(123,'Master Inventory'!$J:$J,0)))</f>
        <v/>
      </c>
      <c r="B124" s="8">
        <f>IF($A124="","",INDEX('Master Inventory'!$B:$B,MATCH($A124,'Master Inventory'!$A:$A,0)))</f>
        <v/>
      </c>
      <c r="C124" s="7">
        <f>IF($A124="","",INDEX('Master Inventory'!$G:$G,MATCH($A124,'Master Inventory'!$A:$A,0)))</f>
        <v/>
      </c>
      <c r="D124" s="7">
        <f>IF($A124="","",D123+C124)</f>
        <v/>
      </c>
      <c r="E124" s="9">
        <f>IF($A124="","",D124/SUM('Master Inventory'!$G:$G))</f>
        <v/>
      </c>
      <c r="F124" s="8">
        <f>IF($A124="","",IF(E124&lt;=0.8,"A",IF(E124&lt;=0.95,"B","C")))</f>
        <v/>
      </c>
    </row>
    <row r="125">
      <c r="A125" s="8">
        <f>IF(124&gt;COUNT('Master Inventory'!$G:$G),"",INDEX('Master Inventory'!$A:$A,MATCH(124,'Master Inventory'!$J:$J,0)))</f>
        <v/>
      </c>
      <c r="B125" s="8">
        <f>IF($A125="","",INDEX('Master Inventory'!$B:$B,MATCH($A125,'Master Inventory'!$A:$A,0)))</f>
        <v/>
      </c>
      <c r="C125" s="7">
        <f>IF($A125="","",INDEX('Master Inventory'!$G:$G,MATCH($A125,'Master Inventory'!$A:$A,0)))</f>
        <v/>
      </c>
      <c r="D125" s="7">
        <f>IF($A125="","",D124+C125)</f>
        <v/>
      </c>
      <c r="E125" s="9">
        <f>IF($A125="","",D125/SUM('Master Inventory'!$G:$G))</f>
        <v/>
      </c>
      <c r="F125" s="8">
        <f>IF($A125="","",IF(E125&lt;=0.8,"A",IF(E125&lt;=0.95,"B","C")))</f>
        <v/>
      </c>
    </row>
    <row r="126">
      <c r="A126" s="8">
        <f>IF(125&gt;COUNT('Master Inventory'!$G:$G),"",INDEX('Master Inventory'!$A:$A,MATCH(125,'Master Inventory'!$J:$J,0)))</f>
        <v/>
      </c>
      <c r="B126" s="8">
        <f>IF($A126="","",INDEX('Master Inventory'!$B:$B,MATCH($A126,'Master Inventory'!$A:$A,0)))</f>
        <v/>
      </c>
      <c r="C126" s="7">
        <f>IF($A126="","",INDEX('Master Inventory'!$G:$G,MATCH($A126,'Master Inventory'!$A:$A,0)))</f>
        <v/>
      </c>
      <c r="D126" s="7">
        <f>IF($A126="","",D125+C126)</f>
        <v/>
      </c>
      <c r="E126" s="9">
        <f>IF($A126="","",D126/SUM('Master Inventory'!$G:$G))</f>
        <v/>
      </c>
      <c r="F126" s="8">
        <f>IF($A126="","",IF(E126&lt;=0.8,"A",IF(E126&lt;=0.95,"B","C")))</f>
        <v/>
      </c>
    </row>
    <row r="127">
      <c r="A127" s="8">
        <f>IF(126&gt;COUNT('Master Inventory'!$G:$G),"",INDEX('Master Inventory'!$A:$A,MATCH(126,'Master Inventory'!$J:$J,0)))</f>
        <v/>
      </c>
      <c r="B127" s="8">
        <f>IF($A127="","",INDEX('Master Inventory'!$B:$B,MATCH($A127,'Master Inventory'!$A:$A,0)))</f>
        <v/>
      </c>
      <c r="C127" s="7">
        <f>IF($A127="","",INDEX('Master Inventory'!$G:$G,MATCH($A127,'Master Inventory'!$A:$A,0)))</f>
        <v/>
      </c>
      <c r="D127" s="7">
        <f>IF($A127="","",D126+C127)</f>
        <v/>
      </c>
      <c r="E127" s="9">
        <f>IF($A127="","",D127/SUM('Master Inventory'!$G:$G))</f>
        <v/>
      </c>
      <c r="F127" s="8">
        <f>IF($A127="","",IF(E127&lt;=0.8,"A",IF(E127&lt;=0.95,"B","C")))</f>
        <v/>
      </c>
    </row>
    <row r="128">
      <c r="A128" s="8">
        <f>IF(127&gt;COUNT('Master Inventory'!$G:$G),"",INDEX('Master Inventory'!$A:$A,MATCH(127,'Master Inventory'!$J:$J,0)))</f>
        <v/>
      </c>
      <c r="B128" s="8">
        <f>IF($A128="","",INDEX('Master Inventory'!$B:$B,MATCH($A128,'Master Inventory'!$A:$A,0)))</f>
        <v/>
      </c>
      <c r="C128" s="7">
        <f>IF($A128="","",INDEX('Master Inventory'!$G:$G,MATCH($A128,'Master Inventory'!$A:$A,0)))</f>
        <v/>
      </c>
      <c r="D128" s="7">
        <f>IF($A128="","",D127+C128)</f>
        <v/>
      </c>
      <c r="E128" s="9">
        <f>IF($A128="","",D128/SUM('Master Inventory'!$G:$G))</f>
        <v/>
      </c>
      <c r="F128" s="8">
        <f>IF($A128="","",IF(E128&lt;=0.8,"A",IF(E128&lt;=0.95,"B","C")))</f>
        <v/>
      </c>
    </row>
    <row r="129">
      <c r="A129" s="8">
        <f>IF(128&gt;COUNT('Master Inventory'!$G:$G),"",INDEX('Master Inventory'!$A:$A,MATCH(128,'Master Inventory'!$J:$J,0)))</f>
        <v/>
      </c>
      <c r="B129" s="8">
        <f>IF($A129="","",INDEX('Master Inventory'!$B:$B,MATCH($A129,'Master Inventory'!$A:$A,0)))</f>
        <v/>
      </c>
      <c r="C129" s="7">
        <f>IF($A129="","",INDEX('Master Inventory'!$G:$G,MATCH($A129,'Master Inventory'!$A:$A,0)))</f>
        <v/>
      </c>
      <c r="D129" s="7">
        <f>IF($A129="","",D128+C129)</f>
        <v/>
      </c>
      <c r="E129" s="9">
        <f>IF($A129="","",D129/SUM('Master Inventory'!$G:$G))</f>
        <v/>
      </c>
      <c r="F129" s="8">
        <f>IF($A129="","",IF(E129&lt;=0.8,"A",IF(E129&lt;=0.95,"B","C")))</f>
        <v/>
      </c>
    </row>
    <row r="130">
      <c r="A130" s="8">
        <f>IF(129&gt;COUNT('Master Inventory'!$G:$G),"",INDEX('Master Inventory'!$A:$A,MATCH(129,'Master Inventory'!$J:$J,0)))</f>
        <v/>
      </c>
      <c r="B130" s="8">
        <f>IF($A130="","",INDEX('Master Inventory'!$B:$B,MATCH($A130,'Master Inventory'!$A:$A,0)))</f>
        <v/>
      </c>
      <c r="C130" s="7">
        <f>IF($A130="","",INDEX('Master Inventory'!$G:$G,MATCH($A130,'Master Inventory'!$A:$A,0)))</f>
        <v/>
      </c>
      <c r="D130" s="7">
        <f>IF($A130="","",D129+C130)</f>
        <v/>
      </c>
      <c r="E130" s="9">
        <f>IF($A130="","",D130/SUM('Master Inventory'!$G:$G))</f>
        <v/>
      </c>
      <c r="F130" s="8">
        <f>IF($A130="","",IF(E130&lt;=0.8,"A",IF(E130&lt;=0.95,"B","C")))</f>
        <v/>
      </c>
    </row>
    <row r="131">
      <c r="A131" s="8">
        <f>IF(130&gt;COUNT('Master Inventory'!$G:$G),"",INDEX('Master Inventory'!$A:$A,MATCH(130,'Master Inventory'!$J:$J,0)))</f>
        <v/>
      </c>
      <c r="B131" s="8">
        <f>IF($A131="","",INDEX('Master Inventory'!$B:$B,MATCH($A131,'Master Inventory'!$A:$A,0)))</f>
        <v/>
      </c>
      <c r="C131" s="7">
        <f>IF($A131="","",INDEX('Master Inventory'!$G:$G,MATCH($A131,'Master Inventory'!$A:$A,0)))</f>
        <v/>
      </c>
      <c r="D131" s="7">
        <f>IF($A131="","",D130+C131)</f>
        <v/>
      </c>
      <c r="E131" s="9">
        <f>IF($A131="","",D131/SUM('Master Inventory'!$G:$G))</f>
        <v/>
      </c>
      <c r="F131" s="8">
        <f>IF($A131="","",IF(E131&lt;=0.8,"A",IF(E131&lt;=0.95,"B","C")))</f>
        <v/>
      </c>
    </row>
    <row r="132">
      <c r="A132" s="8">
        <f>IF(131&gt;COUNT('Master Inventory'!$G:$G),"",INDEX('Master Inventory'!$A:$A,MATCH(131,'Master Inventory'!$J:$J,0)))</f>
        <v/>
      </c>
      <c r="B132" s="8">
        <f>IF($A132="","",INDEX('Master Inventory'!$B:$B,MATCH($A132,'Master Inventory'!$A:$A,0)))</f>
        <v/>
      </c>
      <c r="C132" s="7">
        <f>IF($A132="","",INDEX('Master Inventory'!$G:$G,MATCH($A132,'Master Inventory'!$A:$A,0)))</f>
        <v/>
      </c>
      <c r="D132" s="7">
        <f>IF($A132="","",D131+C132)</f>
        <v/>
      </c>
      <c r="E132" s="9">
        <f>IF($A132="","",D132/SUM('Master Inventory'!$G:$G))</f>
        <v/>
      </c>
      <c r="F132" s="8">
        <f>IF($A132="","",IF(E132&lt;=0.8,"A",IF(E132&lt;=0.95,"B","C")))</f>
        <v/>
      </c>
    </row>
    <row r="133">
      <c r="A133" s="8">
        <f>IF(132&gt;COUNT('Master Inventory'!$G:$G),"",INDEX('Master Inventory'!$A:$A,MATCH(132,'Master Inventory'!$J:$J,0)))</f>
        <v/>
      </c>
      <c r="B133" s="8">
        <f>IF($A133="","",INDEX('Master Inventory'!$B:$B,MATCH($A133,'Master Inventory'!$A:$A,0)))</f>
        <v/>
      </c>
      <c r="C133" s="7">
        <f>IF($A133="","",INDEX('Master Inventory'!$G:$G,MATCH($A133,'Master Inventory'!$A:$A,0)))</f>
        <v/>
      </c>
      <c r="D133" s="7">
        <f>IF($A133="","",D132+C133)</f>
        <v/>
      </c>
      <c r="E133" s="9">
        <f>IF($A133="","",D133/SUM('Master Inventory'!$G:$G))</f>
        <v/>
      </c>
      <c r="F133" s="8">
        <f>IF($A133="","",IF(E133&lt;=0.8,"A",IF(E133&lt;=0.95,"B","C")))</f>
        <v/>
      </c>
    </row>
    <row r="134">
      <c r="A134" s="8">
        <f>IF(133&gt;COUNT('Master Inventory'!$G:$G),"",INDEX('Master Inventory'!$A:$A,MATCH(133,'Master Inventory'!$J:$J,0)))</f>
        <v/>
      </c>
      <c r="B134" s="8">
        <f>IF($A134="","",INDEX('Master Inventory'!$B:$B,MATCH($A134,'Master Inventory'!$A:$A,0)))</f>
        <v/>
      </c>
      <c r="C134" s="7">
        <f>IF($A134="","",INDEX('Master Inventory'!$G:$G,MATCH($A134,'Master Inventory'!$A:$A,0)))</f>
        <v/>
      </c>
      <c r="D134" s="7">
        <f>IF($A134="","",D133+C134)</f>
        <v/>
      </c>
      <c r="E134" s="9">
        <f>IF($A134="","",D134/SUM('Master Inventory'!$G:$G))</f>
        <v/>
      </c>
      <c r="F134" s="8">
        <f>IF($A134="","",IF(E134&lt;=0.8,"A",IF(E134&lt;=0.95,"B","C")))</f>
        <v/>
      </c>
    </row>
    <row r="135">
      <c r="A135" s="8">
        <f>IF(134&gt;COUNT('Master Inventory'!$G:$G),"",INDEX('Master Inventory'!$A:$A,MATCH(134,'Master Inventory'!$J:$J,0)))</f>
        <v/>
      </c>
      <c r="B135" s="8">
        <f>IF($A135="","",INDEX('Master Inventory'!$B:$B,MATCH($A135,'Master Inventory'!$A:$A,0)))</f>
        <v/>
      </c>
      <c r="C135" s="7">
        <f>IF($A135="","",INDEX('Master Inventory'!$G:$G,MATCH($A135,'Master Inventory'!$A:$A,0)))</f>
        <v/>
      </c>
      <c r="D135" s="7">
        <f>IF($A135="","",D134+C135)</f>
        <v/>
      </c>
      <c r="E135" s="9">
        <f>IF($A135="","",D135/SUM('Master Inventory'!$G:$G))</f>
        <v/>
      </c>
      <c r="F135" s="8">
        <f>IF($A135="","",IF(E135&lt;=0.8,"A",IF(E135&lt;=0.95,"B","C")))</f>
        <v/>
      </c>
    </row>
    <row r="136">
      <c r="A136" s="8">
        <f>IF(135&gt;COUNT('Master Inventory'!$G:$G),"",INDEX('Master Inventory'!$A:$A,MATCH(135,'Master Inventory'!$J:$J,0)))</f>
        <v/>
      </c>
      <c r="B136" s="8">
        <f>IF($A136="","",INDEX('Master Inventory'!$B:$B,MATCH($A136,'Master Inventory'!$A:$A,0)))</f>
        <v/>
      </c>
      <c r="C136" s="7">
        <f>IF($A136="","",INDEX('Master Inventory'!$G:$G,MATCH($A136,'Master Inventory'!$A:$A,0)))</f>
        <v/>
      </c>
      <c r="D136" s="7">
        <f>IF($A136="","",D135+C136)</f>
        <v/>
      </c>
      <c r="E136" s="9">
        <f>IF($A136="","",D136/SUM('Master Inventory'!$G:$G))</f>
        <v/>
      </c>
      <c r="F136" s="8">
        <f>IF($A136="","",IF(E136&lt;=0.8,"A",IF(E136&lt;=0.95,"B","C")))</f>
        <v/>
      </c>
    </row>
    <row r="137">
      <c r="A137" s="8">
        <f>IF(136&gt;COUNT('Master Inventory'!$G:$G),"",INDEX('Master Inventory'!$A:$A,MATCH(136,'Master Inventory'!$J:$J,0)))</f>
        <v/>
      </c>
      <c r="B137" s="8">
        <f>IF($A137="","",INDEX('Master Inventory'!$B:$B,MATCH($A137,'Master Inventory'!$A:$A,0)))</f>
        <v/>
      </c>
      <c r="C137" s="7">
        <f>IF($A137="","",INDEX('Master Inventory'!$G:$G,MATCH($A137,'Master Inventory'!$A:$A,0)))</f>
        <v/>
      </c>
      <c r="D137" s="7">
        <f>IF($A137="","",D136+C137)</f>
        <v/>
      </c>
      <c r="E137" s="9">
        <f>IF($A137="","",D137/SUM('Master Inventory'!$G:$G))</f>
        <v/>
      </c>
      <c r="F137" s="8">
        <f>IF($A137="","",IF(E137&lt;=0.8,"A",IF(E137&lt;=0.95,"B","C")))</f>
        <v/>
      </c>
    </row>
    <row r="138">
      <c r="A138" s="8">
        <f>IF(137&gt;COUNT('Master Inventory'!$G:$G),"",INDEX('Master Inventory'!$A:$A,MATCH(137,'Master Inventory'!$J:$J,0)))</f>
        <v/>
      </c>
      <c r="B138" s="8">
        <f>IF($A138="","",INDEX('Master Inventory'!$B:$B,MATCH($A138,'Master Inventory'!$A:$A,0)))</f>
        <v/>
      </c>
      <c r="C138" s="7">
        <f>IF($A138="","",INDEX('Master Inventory'!$G:$G,MATCH($A138,'Master Inventory'!$A:$A,0)))</f>
        <v/>
      </c>
      <c r="D138" s="7">
        <f>IF($A138="","",D137+C138)</f>
        <v/>
      </c>
      <c r="E138" s="9">
        <f>IF($A138="","",D138/SUM('Master Inventory'!$G:$G))</f>
        <v/>
      </c>
      <c r="F138" s="8">
        <f>IF($A138="","",IF(E138&lt;=0.8,"A",IF(E138&lt;=0.95,"B","C")))</f>
        <v/>
      </c>
    </row>
    <row r="139">
      <c r="A139" s="8">
        <f>IF(138&gt;COUNT('Master Inventory'!$G:$G),"",INDEX('Master Inventory'!$A:$A,MATCH(138,'Master Inventory'!$J:$J,0)))</f>
        <v/>
      </c>
      <c r="B139" s="8">
        <f>IF($A139="","",INDEX('Master Inventory'!$B:$B,MATCH($A139,'Master Inventory'!$A:$A,0)))</f>
        <v/>
      </c>
      <c r="C139" s="7">
        <f>IF($A139="","",INDEX('Master Inventory'!$G:$G,MATCH($A139,'Master Inventory'!$A:$A,0)))</f>
        <v/>
      </c>
      <c r="D139" s="7">
        <f>IF($A139="","",D138+C139)</f>
        <v/>
      </c>
      <c r="E139" s="9">
        <f>IF($A139="","",D139/SUM('Master Inventory'!$G:$G))</f>
        <v/>
      </c>
      <c r="F139" s="8">
        <f>IF($A139="","",IF(E139&lt;=0.8,"A",IF(E139&lt;=0.95,"B","C")))</f>
        <v/>
      </c>
    </row>
    <row r="140">
      <c r="A140" s="8">
        <f>IF(139&gt;COUNT('Master Inventory'!$G:$G),"",INDEX('Master Inventory'!$A:$A,MATCH(139,'Master Inventory'!$J:$J,0)))</f>
        <v/>
      </c>
      <c r="B140" s="8">
        <f>IF($A140="","",INDEX('Master Inventory'!$B:$B,MATCH($A140,'Master Inventory'!$A:$A,0)))</f>
        <v/>
      </c>
      <c r="C140" s="7">
        <f>IF($A140="","",INDEX('Master Inventory'!$G:$G,MATCH($A140,'Master Inventory'!$A:$A,0)))</f>
        <v/>
      </c>
      <c r="D140" s="7">
        <f>IF($A140="","",D139+C140)</f>
        <v/>
      </c>
      <c r="E140" s="9">
        <f>IF($A140="","",D140/SUM('Master Inventory'!$G:$G))</f>
        <v/>
      </c>
      <c r="F140" s="8">
        <f>IF($A140="","",IF(E140&lt;=0.8,"A",IF(E140&lt;=0.95,"B","C")))</f>
        <v/>
      </c>
    </row>
    <row r="141">
      <c r="A141" s="8">
        <f>IF(140&gt;COUNT('Master Inventory'!$G:$G),"",INDEX('Master Inventory'!$A:$A,MATCH(140,'Master Inventory'!$J:$J,0)))</f>
        <v/>
      </c>
      <c r="B141" s="8">
        <f>IF($A141="","",INDEX('Master Inventory'!$B:$B,MATCH($A141,'Master Inventory'!$A:$A,0)))</f>
        <v/>
      </c>
      <c r="C141" s="7">
        <f>IF($A141="","",INDEX('Master Inventory'!$G:$G,MATCH($A141,'Master Inventory'!$A:$A,0)))</f>
        <v/>
      </c>
      <c r="D141" s="7">
        <f>IF($A141="","",D140+C141)</f>
        <v/>
      </c>
      <c r="E141" s="9">
        <f>IF($A141="","",D141/SUM('Master Inventory'!$G:$G))</f>
        <v/>
      </c>
      <c r="F141" s="8">
        <f>IF($A141="","",IF(E141&lt;=0.8,"A",IF(E141&lt;=0.95,"B","C")))</f>
        <v/>
      </c>
    </row>
    <row r="142">
      <c r="A142" s="8">
        <f>IF(141&gt;COUNT('Master Inventory'!$G:$G),"",INDEX('Master Inventory'!$A:$A,MATCH(141,'Master Inventory'!$J:$J,0)))</f>
        <v/>
      </c>
      <c r="B142" s="8">
        <f>IF($A142="","",INDEX('Master Inventory'!$B:$B,MATCH($A142,'Master Inventory'!$A:$A,0)))</f>
        <v/>
      </c>
      <c r="C142" s="7">
        <f>IF($A142="","",INDEX('Master Inventory'!$G:$G,MATCH($A142,'Master Inventory'!$A:$A,0)))</f>
        <v/>
      </c>
      <c r="D142" s="7">
        <f>IF($A142="","",D141+C142)</f>
        <v/>
      </c>
      <c r="E142" s="9">
        <f>IF($A142="","",D142/SUM('Master Inventory'!$G:$G))</f>
        <v/>
      </c>
      <c r="F142" s="8">
        <f>IF($A142="","",IF(E142&lt;=0.8,"A",IF(E142&lt;=0.95,"B","C")))</f>
        <v/>
      </c>
    </row>
    <row r="143">
      <c r="A143" s="8">
        <f>IF(142&gt;COUNT('Master Inventory'!$G:$G),"",INDEX('Master Inventory'!$A:$A,MATCH(142,'Master Inventory'!$J:$J,0)))</f>
        <v/>
      </c>
      <c r="B143" s="8">
        <f>IF($A143="","",INDEX('Master Inventory'!$B:$B,MATCH($A143,'Master Inventory'!$A:$A,0)))</f>
        <v/>
      </c>
      <c r="C143" s="7">
        <f>IF($A143="","",INDEX('Master Inventory'!$G:$G,MATCH($A143,'Master Inventory'!$A:$A,0)))</f>
        <v/>
      </c>
      <c r="D143" s="7">
        <f>IF($A143="","",D142+C143)</f>
        <v/>
      </c>
      <c r="E143" s="9">
        <f>IF($A143="","",D143/SUM('Master Inventory'!$G:$G))</f>
        <v/>
      </c>
      <c r="F143" s="8">
        <f>IF($A143="","",IF(E143&lt;=0.8,"A",IF(E143&lt;=0.95,"B","C")))</f>
        <v/>
      </c>
    </row>
    <row r="144">
      <c r="A144" s="8">
        <f>IF(143&gt;COUNT('Master Inventory'!$G:$G),"",INDEX('Master Inventory'!$A:$A,MATCH(143,'Master Inventory'!$J:$J,0)))</f>
        <v/>
      </c>
      <c r="B144" s="8">
        <f>IF($A144="","",INDEX('Master Inventory'!$B:$B,MATCH($A144,'Master Inventory'!$A:$A,0)))</f>
        <v/>
      </c>
      <c r="C144" s="7">
        <f>IF($A144="","",INDEX('Master Inventory'!$G:$G,MATCH($A144,'Master Inventory'!$A:$A,0)))</f>
        <v/>
      </c>
      <c r="D144" s="7">
        <f>IF($A144="","",D143+C144)</f>
        <v/>
      </c>
      <c r="E144" s="9">
        <f>IF($A144="","",D144/SUM('Master Inventory'!$G:$G))</f>
        <v/>
      </c>
      <c r="F144" s="8">
        <f>IF($A144="","",IF(E144&lt;=0.8,"A",IF(E144&lt;=0.95,"B","C")))</f>
        <v/>
      </c>
    </row>
    <row r="145">
      <c r="A145" s="8">
        <f>IF(144&gt;COUNT('Master Inventory'!$G:$G),"",INDEX('Master Inventory'!$A:$A,MATCH(144,'Master Inventory'!$J:$J,0)))</f>
        <v/>
      </c>
      <c r="B145" s="8">
        <f>IF($A145="","",INDEX('Master Inventory'!$B:$B,MATCH($A145,'Master Inventory'!$A:$A,0)))</f>
        <v/>
      </c>
      <c r="C145" s="7">
        <f>IF($A145="","",INDEX('Master Inventory'!$G:$G,MATCH($A145,'Master Inventory'!$A:$A,0)))</f>
        <v/>
      </c>
      <c r="D145" s="7">
        <f>IF($A145="","",D144+C145)</f>
        <v/>
      </c>
      <c r="E145" s="9">
        <f>IF($A145="","",D145/SUM('Master Inventory'!$G:$G))</f>
        <v/>
      </c>
      <c r="F145" s="8">
        <f>IF($A145="","",IF(E145&lt;=0.8,"A",IF(E145&lt;=0.95,"B","C")))</f>
        <v/>
      </c>
    </row>
    <row r="146">
      <c r="A146" s="8">
        <f>IF(145&gt;COUNT('Master Inventory'!$G:$G),"",INDEX('Master Inventory'!$A:$A,MATCH(145,'Master Inventory'!$J:$J,0)))</f>
        <v/>
      </c>
      <c r="B146" s="8">
        <f>IF($A146="","",INDEX('Master Inventory'!$B:$B,MATCH($A146,'Master Inventory'!$A:$A,0)))</f>
        <v/>
      </c>
      <c r="C146" s="7">
        <f>IF($A146="","",INDEX('Master Inventory'!$G:$G,MATCH($A146,'Master Inventory'!$A:$A,0)))</f>
        <v/>
      </c>
      <c r="D146" s="7">
        <f>IF($A146="","",D145+C146)</f>
        <v/>
      </c>
      <c r="E146" s="9">
        <f>IF($A146="","",D146/SUM('Master Inventory'!$G:$G))</f>
        <v/>
      </c>
      <c r="F146" s="8">
        <f>IF($A146="","",IF(E146&lt;=0.8,"A",IF(E146&lt;=0.95,"B","C")))</f>
        <v/>
      </c>
    </row>
    <row r="147">
      <c r="A147" s="8">
        <f>IF(146&gt;COUNT('Master Inventory'!$G:$G),"",INDEX('Master Inventory'!$A:$A,MATCH(146,'Master Inventory'!$J:$J,0)))</f>
        <v/>
      </c>
      <c r="B147" s="8">
        <f>IF($A147="","",INDEX('Master Inventory'!$B:$B,MATCH($A147,'Master Inventory'!$A:$A,0)))</f>
        <v/>
      </c>
      <c r="C147" s="7">
        <f>IF($A147="","",INDEX('Master Inventory'!$G:$G,MATCH($A147,'Master Inventory'!$A:$A,0)))</f>
        <v/>
      </c>
      <c r="D147" s="7">
        <f>IF($A147="","",D146+C147)</f>
        <v/>
      </c>
      <c r="E147" s="9">
        <f>IF($A147="","",D147/SUM('Master Inventory'!$G:$G))</f>
        <v/>
      </c>
      <c r="F147" s="8">
        <f>IF($A147="","",IF(E147&lt;=0.8,"A",IF(E147&lt;=0.95,"B","C")))</f>
        <v/>
      </c>
    </row>
    <row r="148">
      <c r="A148" s="8">
        <f>IF(147&gt;COUNT('Master Inventory'!$G:$G),"",INDEX('Master Inventory'!$A:$A,MATCH(147,'Master Inventory'!$J:$J,0)))</f>
        <v/>
      </c>
      <c r="B148" s="8">
        <f>IF($A148="","",INDEX('Master Inventory'!$B:$B,MATCH($A148,'Master Inventory'!$A:$A,0)))</f>
        <v/>
      </c>
      <c r="C148" s="7">
        <f>IF($A148="","",INDEX('Master Inventory'!$G:$G,MATCH($A148,'Master Inventory'!$A:$A,0)))</f>
        <v/>
      </c>
      <c r="D148" s="7">
        <f>IF($A148="","",D147+C148)</f>
        <v/>
      </c>
      <c r="E148" s="9">
        <f>IF($A148="","",D148/SUM('Master Inventory'!$G:$G))</f>
        <v/>
      </c>
      <c r="F148" s="8">
        <f>IF($A148="","",IF(E148&lt;=0.8,"A",IF(E148&lt;=0.95,"B","C")))</f>
        <v/>
      </c>
    </row>
    <row r="149">
      <c r="A149" s="8">
        <f>IF(148&gt;COUNT('Master Inventory'!$G:$G),"",INDEX('Master Inventory'!$A:$A,MATCH(148,'Master Inventory'!$J:$J,0)))</f>
        <v/>
      </c>
      <c r="B149" s="8">
        <f>IF($A149="","",INDEX('Master Inventory'!$B:$B,MATCH($A149,'Master Inventory'!$A:$A,0)))</f>
        <v/>
      </c>
      <c r="C149" s="7">
        <f>IF($A149="","",INDEX('Master Inventory'!$G:$G,MATCH($A149,'Master Inventory'!$A:$A,0)))</f>
        <v/>
      </c>
      <c r="D149" s="7">
        <f>IF($A149="","",D148+C149)</f>
        <v/>
      </c>
      <c r="E149" s="9">
        <f>IF($A149="","",D149/SUM('Master Inventory'!$G:$G))</f>
        <v/>
      </c>
      <c r="F149" s="8">
        <f>IF($A149="","",IF(E149&lt;=0.8,"A",IF(E149&lt;=0.95,"B","C")))</f>
        <v/>
      </c>
    </row>
    <row r="150">
      <c r="A150" s="8">
        <f>IF(149&gt;COUNT('Master Inventory'!$G:$G),"",INDEX('Master Inventory'!$A:$A,MATCH(149,'Master Inventory'!$J:$J,0)))</f>
        <v/>
      </c>
      <c r="B150" s="8">
        <f>IF($A150="","",INDEX('Master Inventory'!$B:$B,MATCH($A150,'Master Inventory'!$A:$A,0)))</f>
        <v/>
      </c>
      <c r="C150" s="7">
        <f>IF($A150="","",INDEX('Master Inventory'!$G:$G,MATCH($A150,'Master Inventory'!$A:$A,0)))</f>
        <v/>
      </c>
      <c r="D150" s="7">
        <f>IF($A150="","",D149+C150)</f>
        <v/>
      </c>
      <c r="E150" s="9">
        <f>IF($A150="","",D150/SUM('Master Inventory'!$G:$G))</f>
        <v/>
      </c>
      <c r="F150" s="8">
        <f>IF($A150="","",IF(E150&lt;=0.8,"A",IF(E150&lt;=0.95,"B","C")))</f>
        <v/>
      </c>
    </row>
    <row r="151">
      <c r="A151" s="8">
        <f>IF(150&gt;COUNT('Master Inventory'!$G:$G),"",INDEX('Master Inventory'!$A:$A,MATCH(150,'Master Inventory'!$J:$J,0)))</f>
        <v/>
      </c>
      <c r="B151" s="8">
        <f>IF($A151="","",INDEX('Master Inventory'!$B:$B,MATCH($A151,'Master Inventory'!$A:$A,0)))</f>
        <v/>
      </c>
      <c r="C151" s="7">
        <f>IF($A151="","",INDEX('Master Inventory'!$G:$G,MATCH($A151,'Master Inventory'!$A:$A,0)))</f>
        <v/>
      </c>
      <c r="D151" s="7">
        <f>IF($A151="","",D150+C151)</f>
        <v/>
      </c>
      <c r="E151" s="9">
        <f>IF($A151="","",D151/SUM('Master Inventory'!$G:$G))</f>
        <v/>
      </c>
      <c r="F151" s="8">
        <f>IF($A151="","",IF(E151&lt;=0.8,"A",IF(E151&lt;=0.95,"B","C")))</f>
        <v/>
      </c>
    </row>
    <row r="152">
      <c r="A152" s="8">
        <f>IF(151&gt;COUNT('Master Inventory'!$G:$G),"",INDEX('Master Inventory'!$A:$A,MATCH(151,'Master Inventory'!$J:$J,0)))</f>
        <v/>
      </c>
      <c r="B152" s="8">
        <f>IF($A152="","",INDEX('Master Inventory'!$B:$B,MATCH($A152,'Master Inventory'!$A:$A,0)))</f>
        <v/>
      </c>
      <c r="C152" s="7">
        <f>IF($A152="","",INDEX('Master Inventory'!$G:$G,MATCH($A152,'Master Inventory'!$A:$A,0)))</f>
        <v/>
      </c>
      <c r="D152" s="7">
        <f>IF($A152="","",D151+C152)</f>
        <v/>
      </c>
      <c r="E152" s="9">
        <f>IF($A152="","",D152/SUM('Master Inventory'!$G:$G))</f>
        <v/>
      </c>
      <c r="F152" s="8">
        <f>IF($A152="","",IF(E152&lt;=0.8,"A",IF(E152&lt;=0.95,"B","C")))</f>
        <v/>
      </c>
    </row>
    <row r="153">
      <c r="A153" s="8">
        <f>IF(152&gt;COUNT('Master Inventory'!$G:$G),"",INDEX('Master Inventory'!$A:$A,MATCH(152,'Master Inventory'!$J:$J,0)))</f>
        <v/>
      </c>
      <c r="B153" s="8">
        <f>IF($A153="","",INDEX('Master Inventory'!$B:$B,MATCH($A153,'Master Inventory'!$A:$A,0)))</f>
        <v/>
      </c>
      <c r="C153" s="7">
        <f>IF($A153="","",INDEX('Master Inventory'!$G:$G,MATCH($A153,'Master Inventory'!$A:$A,0)))</f>
        <v/>
      </c>
      <c r="D153" s="7">
        <f>IF($A153="","",D152+C153)</f>
        <v/>
      </c>
      <c r="E153" s="9">
        <f>IF($A153="","",D153/SUM('Master Inventory'!$G:$G))</f>
        <v/>
      </c>
      <c r="F153" s="8">
        <f>IF($A153="","",IF(E153&lt;=0.8,"A",IF(E153&lt;=0.95,"B","C")))</f>
        <v/>
      </c>
    </row>
    <row r="154">
      <c r="A154" s="8">
        <f>IF(153&gt;COUNT('Master Inventory'!$G:$G),"",INDEX('Master Inventory'!$A:$A,MATCH(153,'Master Inventory'!$J:$J,0)))</f>
        <v/>
      </c>
      <c r="B154" s="8">
        <f>IF($A154="","",INDEX('Master Inventory'!$B:$B,MATCH($A154,'Master Inventory'!$A:$A,0)))</f>
        <v/>
      </c>
      <c r="C154" s="7">
        <f>IF($A154="","",INDEX('Master Inventory'!$G:$G,MATCH($A154,'Master Inventory'!$A:$A,0)))</f>
        <v/>
      </c>
      <c r="D154" s="7">
        <f>IF($A154="","",D153+C154)</f>
        <v/>
      </c>
      <c r="E154" s="9">
        <f>IF($A154="","",D154/SUM('Master Inventory'!$G:$G))</f>
        <v/>
      </c>
      <c r="F154" s="8">
        <f>IF($A154="","",IF(E154&lt;=0.8,"A",IF(E154&lt;=0.95,"B","C")))</f>
        <v/>
      </c>
    </row>
    <row r="155">
      <c r="A155" s="8">
        <f>IF(154&gt;COUNT('Master Inventory'!$G:$G),"",INDEX('Master Inventory'!$A:$A,MATCH(154,'Master Inventory'!$J:$J,0)))</f>
        <v/>
      </c>
      <c r="B155" s="8">
        <f>IF($A155="","",INDEX('Master Inventory'!$B:$B,MATCH($A155,'Master Inventory'!$A:$A,0)))</f>
        <v/>
      </c>
      <c r="C155" s="7">
        <f>IF($A155="","",INDEX('Master Inventory'!$G:$G,MATCH($A155,'Master Inventory'!$A:$A,0)))</f>
        <v/>
      </c>
      <c r="D155" s="7">
        <f>IF($A155="","",D154+C155)</f>
        <v/>
      </c>
      <c r="E155" s="9">
        <f>IF($A155="","",D155/SUM('Master Inventory'!$G:$G))</f>
        <v/>
      </c>
      <c r="F155" s="8">
        <f>IF($A155="","",IF(E155&lt;=0.8,"A",IF(E155&lt;=0.95,"B","C")))</f>
        <v/>
      </c>
    </row>
    <row r="156">
      <c r="A156" s="8">
        <f>IF(155&gt;COUNT('Master Inventory'!$G:$G),"",INDEX('Master Inventory'!$A:$A,MATCH(155,'Master Inventory'!$J:$J,0)))</f>
        <v/>
      </c>
      <c r="B156" s="8">
        <f>IF($A156="","",INDEX('Master Inventory'!$B:$B,MATCH($A156,'Master Inventory'!$A:$A,0)))</f>
        <v/>
      </c>
      <c r="C156" s="7">
        <f>IF($A156="","",INDEX('Master Inventory'!$G:$G,MATCH($A156,'Master Inventory'!$A:$A,0)))</f>
        <v/>
      </c>
      <c r="D156" s="7">
        <f>IF($A156="","",D155+C156)</f>
        <v/>
      </c>
      <c r="E156" s="9">
        <f>IF($A156="","",D156/SUM('Master Inventory'!$G:$G))</f>
        <v/>
      </c>
      <c r="F156" s="8">
        <f>IF($A156="","",IF(E156&lt;=0.8,"A",IF(E156&lt;=0.95,"B","C")))</f>
        <v/>
      </c>
    </row>
    <row r="157">
      <c r="A157" s="8">
        <f>IF(156&gt;COUNT('Master Inventory'!$G:$G),"",INDEX('Master Inventory'!$A:$A,MATCH(156,'Master Inventory'!$J:$J,0)))</f>
        <v/>
      </c>
      <c r="B157" s="8">
        <f>IF($A157="","",INDEX('Master Inventory'!$B:$B,MATCH($A157,'Master Inventory'!$A:$A,0)))</f>
        <v/>
      </c>
      <c r="C157" s="7">
        <f>IF($A157="","",INDEX('Master Inventory'!$G:$G,MATCH($A157,'Master Inventory'!$A:$A,0)))</f>
        <v/>
      </c>
      <c r="D157" s="7">
        <f>IF($A157="","",D156+C157)</f>
        <v/>
      </c>
      <c r="E157" s="9">
        <f>IF($A157="","",D157/SUM('Master Inventory'!$G:$G))</f>
        <v/>
      </c>
      <c r="F157" s="8">
        <f>IF($A157="","",IF(E157&lt;=0.8,"A",IF(E157&lt;=0.95,"B","C")))</f>
        <v/>
      </c>
    </row>
    <row r="158">
      <c r="A158" s="8">
        <f>IF(157&gt;COUNT('Master Inventory'!$G:$G),"",INDEX('Master Inventory'!$A:$A,MATCH(157,'Master Inventory'!$J:$J,0)))</f>
        <v/>
      </c>
      <c r="B158" s="8">
        <f>IF($A158="","",INDEX('Master Inventory'!$B:$B,MATCH($A158,'Master Inventory'!$A:$A,0)))</f>
        <v/>
      </c>
      <c r="C158" s="7">
        <f>IF($A158="","",INDEX('Master Inventory'!$G:$G,MATCH($A158,'Master Inventory'!$A:$A,0)))</f>
        <v/>
      </c>
      <c r="D158" s="7">
        <f>IF($A158="","",D157+C158)</f>
        <v/>
      </c>
      <c r="E158" s="9">
        <f>IF($A158="","",D158/SUM('Master Inventory'!$G:$G))</f>
        <v/>
      </c>
      <c r="F158" s="8">
        <f>IF($A158="","",IF(E158&lt;=0.8,"A",IF(E158&lt;=0.95,"B","C")))</f>
        <v/>
      </c>
    </row>
    <row r="159">
      <c r="A159" s="8">
        <f>IF(158&gt;COUNT('Master Inventory'!$G:$G),"",INDEX('Master Inventory'!$A:$A,MATCH(158,'Master Inventory'!$J:$J,0)))</f>
        <v/>
      </c>
      <c r="B159" s="8">
        <f>IF($A159="","",INDEX('Master Inventory'!$B:$B,MATCH($A159,'Master Inventory'!$A:$A,0)))</f>
        <v/>
      </c>
      <c r="C159" s="7">
        <f>IF($A159="","",INDEX('Master Inventory'!$G:$G,MATCH($A159,'Master Inventory'!$A:$A,0)))</f>
        <v/>
      </c>
      <c r="D159" s="7">
        <f>IF($A159="","",D158+C159)</f>
        <v/>
      </c>
      <c r="E159" s="9">
        <f>IF($A159="","",D159/SUM('Master Inventory'!$G:$G))</f>
        <v/>
      </c>
      <c r="F159" s="8">
        <f>IF($A159="","",IF(E159&lt;=0.8,"A",IF(E159&lt;=0.95,"B","C")))</f>
        <v/>
      </c>
    </row>
    <row r="160">
      <c r="A160" s="8">
        <f>IF(159&gt;COUNT('Master Inventory'!$G:$G),"",INDEX('Master Inventory'!$A:$A,MATCH(159,'Master Inventory'!$J:$J,0)))</f>
        <v/>
      </c>
      <c r="B160" s="8">
        <f>IF($A160="","",INDEX('Master Inventory'!$B:$B,MATCH($A160,'Master Inventory'!$A:$A,0)))</f>
        <v/>
      </c>
      <c r="C160" s="7">
        <f>IF($A160="","",INDEX('Master Inventory'!$G:$G,MATCH($A160,'Master Inventory'!$A:$A,0)))</f>
        <v/>
      </c>
      <c r="D160" s="7">
        <f>IF($A160="","",D159+C160)</f>
        <v/>
      </c>
      <c r="E160" s="9">
        <f>IF($A160="","",D160/SUM('Master Inventory'!$G:$G))</f>
        <v/>
      </c>
      <c r="F160" s="8">
        <f>IF($A160="","",IF(E160&lt;=0.8,"A",IF(E160&lt;=0.95,"B","C")))</f>
        <v/>
      </c>
    </row>
    <row r="161">
      <c r="A161" s="8">
        <f>IF(160&gt;COUNT('Master Inventory'!$G:$G),"",INDEX('Master Inventory'!$A:$A,MATCH(160,'Master Inventory'!$J:$J,0)))</f>
        <v/>
      </c>
      <c r="B161" s="8">
        <f>IF($A161="","",INDEX('Master Inventory'!$B:$B,MATCH($A161,'Master Inventory'!$A:$A,0)))</f>
        <v/>
      </c>
      <c r="C161" s="7">
        <f>IF($A161="","",INDEX('Master Inventory'!$G:$G,MATCH($A161,'Master Inventory'!$A:$A,0)))</f>
        <v/>
      </c>
      <c r="D161" s="7">
        <f>IF($A161="","",D160+C161)</f>
        <v/>
      </c>
      <c r="E161" s="9">
        <f>IF($A161="","",D161/SUM('Master Inventory'!$G:$G))</f>
        <v/>
      </c>
      <c r="F161" s="8">
        <f>IF($A161="","",IF(E161&lt;=0.8,"A",IF(E161&lt;=0.95,"B","C")))</f>
        <v/>
      </c>
    </row>
    <row r="162">
      <c r="A162" s="8">
        <f>IF(161&gt;COUNT('Master Inventory'!$G:$G),"",INDEX('Master Inventory'!$A:$A,MATCH(161,'Master Inventory'!$J:$J,0)))</f>
        <v/>
      </c>
      <c r="B162" s="8">
        <f>IF($A162="","",INDEX('Master Inventory'!$B:$B,MATCH($A162,'Master Inventory'!$A:$A,0)))</f>
        <v/>
      </c>
      <c r="C162" s="7">
        <f>IF($A162="","",INDEX('Master Inventory'!$G:$G,MATCH($A162,'Master Inventory'!$A:$A,0)))</f>
        <v/>
      </c>
      <c r="D162" s="7">
        <f>IF($A162="","",D161+C162)</f>
        <v/>
      </c>
      <c r="E162" s="9">
        <f>IF($A162="","",D162/SUM('Master Inventory'!$G:$G))</f>
        <v/>
      </c>
      <c r="F162" s="8">
        <f>IF($A162="","",IF(E162&lt;=0.8,"A",IF(E162&lt;=0.95,"B","C")))</f>
        <v/>
      </c>
    </row>
    <row r="163">
      <c r="A163" s="8">
        <f>IF(162&gt;COUNT('Master Inventory'!$G:$G),"",INDEX('Master Inventory'!$A:$A,MATCH(162,'Master Inventory'!$J:$J,0)))</f>
        <v/>
      </c>
      <c r="B163" s="8">
        <f>IF($A163="","",INDEX('Master Inventory'!$B:$B,MATCH($A163,'Master Inventory'!$A:$A,0)))</f>
        <v/>
      </c>
      <c r="C163" s="7">
        <f>IF($A163="","",INDEX('Master Inventory'!$G:$G,MATCH($A163,'Master Inventory'!$A:$A,0)))</f>
        <v/>
      </c>
      <c r="D163" s="7">
        <f>IF($A163="","",D162+C163)</f>
        <v/>
      </c>
      <c r="E163" s="9">
        <f>IF($A163="","",D163/SUM('Master Inventory'!$G:$G))</f>
        <v/>
      </c>
      <c r="F163" s="8">
        <f>IF($A163="","",IF(E163&lt;=0.8,"A",IF(E163&lt;=0.95,"B","C")))</f>
        <v/>
      </c>
    </row>
    <row r="164">
      <c r="A164" s="8">
        <f>IF(163&gt;COUNT('Master Inventory'!$G:$G),"",INDEX('Master Inventory'!$A:$A,MATCH(163,'Master Inventory'!$J:$J,0)))</f>
        <v/>
      </c>
      <c r="B164" s="8">
        <f>IF($A164="","",INDEX('Master Inventory'!$B:$B,MATCH($A164,'Master Inventory'!$A:$A,0)))</f>
        <v/>
      </c>
      <c r="C164" s="7">
        <f>IF($A164="","",INDEX('Master Inventory'!$G:$G,MATCH($A164,'Master Inventory'!$A:$A,0)))</f>
        <v/>
      </c>
      <c r="D164" s="7">
        <f>IF($A164="","",D163+C164)</f>
        <v/>
      </c>
      <c r="E164" s="9">
        <f>IF($A164="","",D164/SUM('Master Inventory'!$G:$G))</f>
        <v/>
      </c>
      <c r="F164" s="8">
        <f>IF($A164="","",IF(E164&lt;=0.8,"A",IF(E164&lt;=0.95,"B","C")))</f>
        <v/>
      </c>
    </row>
    <row r="165">
      <c r="A165" s="8">
        <f>IF(164&gt;COUNT('Master Inventory'!$G:$G),"",INDEX('Master Inventory'!$A:$A,MATCH(164,'Master Inventory'!$J:$J,0)))</f>
        <v/>
      </c>
      <c r="B165" s="8">
        <f>IF($A165="","",INDEX('Master Inventory'!$B:$B,MATCH($A165,'Master Inventory'!$A:$A,0)))</f>
        <v/>
      </c>
      <c r="C165" s="7">
        <f>IF($A165="","",INDEX('Master Inventory'!$G:$G,MATCH($A165,'Master Inventory'!$A:$A,0)))</f>
        <v/>
      </c>
      <c r="D165" s="7">
        <f>IF($A165="","",D164+C165)</f>
        <v/>
      </c>
      <c r="E165" s="9">
        <f>IF($A165="","",D165/SUM('Master Inventory'!$G:$G))</f>
        <v/>
      </c>
      <c r="F165" s="8">
        <f>IF($A165="","",IF(E165&lt;=0.8,"A",IF(E165&lt;=0.95,"B","C")))</f>
        <v/>
      </c>
    </row>
    <row r="166">
      <c r="A166" s="8">
        <f>IF(165&gt;COUNT('Master Inventory'!$G:$G),"",INDEX('Master Inventory'!$A:$A,MATCH(165,'Master Inventory'!$J:$J,0)))</f>
        <v/>
      </c>
      <c r="B166" s="8">
        <f>IF($A166="","",INDEX('Master Inventory'!$B:$B,MATCH($A166,'Master Inventory'!$A:$A,0)))</f>
        <v/>
      </c>
      <c r="C166" s="7">
        <f>IF($A166="","",INDEX('Master Inventory'!$G:$G,MATCH($A166,'Master Inventory'!$A:$A,0)))</f>
        <v/>
      </c>
      <c r="D166" s="7">
        <f>IF($A166="","",D165+C166)</f>
        <v/>
      </c>
      <c r="E166" s="9">
        <f>IF($A166="","",D166/SUM('Master Inventory'!$G:$G))</f>
        <v/>
      </c>
      <c r="F166" s="8">
        <f>IF($A166="","",IF(E166&lt;=0.8,"A",IF(E166&lt;=0.95,"B","C")))</f>
        <v/>
      </c>
    </row>
    <row r="167">
      <c r="A167" s="8">
        <f>IF(166&gt;COUNT('Master Inventory'!$G:$G),"",INDEX('Master Inventory'!$A:$A,MATCH(166,'Master Inventory'!$J:$J,0)))</f>
        <v/>
      </c>
      <c r="B167" s="8">
        <f>IF($A167="","",INDEX('Master Inventory'!$B:$B,MATCH($A167,'Master Inventory'!$A:$A,0)))</f>
        <v/>
      </c>
      <c r="C167" s="7">
        <f>IF($A167="","",INDEX('Master Inventory'!$G:$G,MATCH($A167,'Master Inventory'!$A:$A,0)))</f>
        <v/>
      </c>
      <c r="D167" s="7">
        <f>IF($A167="","",D166+C167)</f>
        <v/>
      </c>
      <c r="E167" s="9">
        <f>IF($A167="","",D167/SUM('Master Inventory'!$G:$G))</f>
        <v/>
      </c>
      <c r="F167" s="8">
        <f>IF($A167="","",IF(E167&lt;=0.8,"A",IF(E167&lt;=0.95,"B","C")))</f>
        <v/>
      </c>
    </row>
    <row r="168">
      <c r="A168" s="8">
        <f>IF(167&gt;COUNT('Master Inventory'!$G:$G),"",INDEX('Master Inventory'!$A:$A,MATCH(167,'Master Inventory'!$J:$J,0)))</f>
        <v/>
      </c>
      <c r="B168" s="8">
        <f>IF($A168="","",INDEX('Master Inventory'!$B:$B,MATCH($A168,'Master Inventory'!$A:$A,0)))</f>
        <v/>
      </c>
      <c r="C168" s="7">
        <f>IF($A168="","",INDEX('Master Inventory'!$G:$G,MATCH($A168,'Master Inventory'!$A:$A,0)))</f>
        <v/>
      </c>
      <c r="D168" s="7">
        <f>IF($A168="","",D167+C168)</f>
        <v/>
      </c>
      <c r="E168" s="9">
        <f>IF($A168="","",D168/SUM('Master Inventory'!$G:$G))</f>
        <v/>
      </c>
      <c r="F168" s="8">
        <f>IF($A168="","",IF(E168&lt;=0.8,"A",IF(E168&lt;=0.95,"B","C")))</f>
        <v/>
      </c>
    </row>
    <row r="169">
      <c r="A169" s="8">
        <f>IF(168&gt;COUNT('Master Inventory'!$G:$G),"",INDEX('Master Inventory'!$A:$A,MATCH(168,'Master Inventory'!$J:$J,0)))</f>
        <v/>
      </c>
      <c r="B169" s="8">
        <f>IF($A169="","",INDEX('Master Inventory'!$B:$B,MATCH($A169,'Master Inventory'!$A:$A,0)))</f>
        <v/>
      </c>
      <c r="C169" s="7">
        <f>IF($A169="","",INDEX('Master Inventory'!$G:$G,MATCH($A169,'Master Inventory'!$A:$A,0)))</f>
        <v/>
      </c>
      <c r="D169" s="7">
        <f>IF($A169="","",D168+C169)</f>
        <v/>
      </c>
      <c r="E169" s="9">
        <f>IF($A169="","",D169/SUM('Master Inventory'!$G:$G))</f>
        <v/>
      </c>
      <c r="F169" s="8">
        <f>IF($A169="","",IF(E169&lt;=0.8,"A",IF(E169&lt;=0.95,"B","C")))</f>
        <v/>
      </c>
    </row>
    <row r="170">
      <c r="A170" s="8">
        <f>IF(169&gt;COUNT('Master Inventory'!$G:$G),"",INDEX('Master Inventory'!$A:$A,MATCH(169,'Master Inventory'!$J:$J,0)))</f>
        <v/>
      </c>
      <c r="B170" s="8">
        <f>IF($A170="","",INDEX('Master Inventory'!$B:$B,MATCH($A170,'Master Inventory'!$A:$A,0)))</f>
        <v/>
      </c>
      <c r="C170" s="7">
        <f>IF($A170="","",INDEX('Master Inventory'!$G:$G,MATCH($A170,'Master Inventory'!$A:$A,0)))</f>
        <v/>
      </c>
      <c r="D170" s="7">
        <f>IF($A170="","",D169+C170)</f>
        <v/>
      </c>
      <c r="E170" s="9">
        <f>IF($A170="","",D170/SUM('Master Inventory'!$G:$G))</f>
        <v/>
      </c>
      <c r="F170" s="8">
        <f>IF($A170="","",IF(E170&lt;=0.8,"A",IF(E170&lt;=0.95,"B","C")))</f>
        <v/>
      </c>
    </row>
    <row r="171">
      <c r="A171" s="8">
        <f>IF(170&gt;COUNT('Master Inventory'!$G:$G),"",INDEX('Master Inventory'!$A:$A,MATCH(170,'Master Inventory'!$J:$J,0)))</f>
        <v/>
      </c>
      <c r="B171" s="8">
        <f>IF($A171="","",INDEX('Master Inventory'!$B:$B,MATCH($A171,'Master Inventory'!$A:$A,0)))</f>
        <v/>
      </c>
      <c r="C171" s="7">
        <f>IF($A171="","",INDEX('Master Inventory'!$G:$G,MATCH($A171,'Master Inventory'!$A:$A,0)))</f>
        <v/>
      </c>
      <c r="D171" s="7">
        <f>IF($A171="","",D170+C171)</f>
        <v/>
      </c>
      <c r="E171" s="9">
        <f>IF($A171="","",D171/SUM('Master Inventory'!$G:$G))</f>
        <v/>
      </c>
      <c r="F171" s="8">
        <f>IF($A171="","",IF(E171&lt;=0.8,"A",IF(E171&lt;=0.95,"B","C")))</f>
        <v/>
      </c>
    </row>
    <row r="172">
      <c r="A172" s="8">
        <f>IF(171&gt;COUNT('Master Inventory'!$G:$G),"",INDEX('Master Inventory'!$A:$A,MATCH(171,'Master Inventory'!$J:$J,0)))</f>
        <v/>
      </c>
      <c r="B172" s="8">
        <f>IF($A172="","",INDEX('Master Inventory'!$B:$B,MATCH($A172,'Master Inventory'!$A:$A,0)))</f>
        <v/>
      </c>
      <c r="C172" s="7">
        <f>IF($A172="","",INDEX('Master Inventory'!$G:$G,MATCH($A172,'Master Inventory'!$A:$A,0)))</f>
        <v/>
      </c>
      <c r="D172" s="7">
        <f>IF($A172="","",D171+C172)</f>
        <v/>
      </c>
      <c r="E172" s="9">
        <f>IF($A172="","",D172/SUM('Master Inventory'!$G:$G))</f>
        <v/>
      </c>
      <c r="F172" s="8">
        <f>IF($A172="","",IF(E172&lt;=0.8,"A",IF(E172&lt;=0.95,"B","C")))</f>
        <v/>
      </c>
    </row>
    <row r="173">
      <c r="A173" s="8">
        <f>IF(172&gt;COUNT('Master Inventory'!$G:$G),"",INDEX('Master Inventory'!$A:$A,MATCH(172,'Master Inventory'!$J:$J,0)))</f>
        <v/>
      </c>
      <c r="B173" s="8">
        <f>IF($A173="","",INDEX('Master Inventory'!$B:$B,MATCH($A173,'Master Inventory'!$A:$A,0)))</f>
        <v/>
      </c>
      <c r="C173" s="7">
        <f>IF($A173="","",INDEX('Master Inventory'!$G:$G,MATCH($A173,'Master Inventory'!$A:$A,0)))</f>
        <v/>
      </c>
      <c r="D173" s="7">
        <f>IF($A173="","",D172+C173)</f>
        <v/>
      </c>
      <c r="E173" s="9">
        <f>IF($A173="","",D173/SUM('Master Inventory'!$G:$G))</f>
        <v/>
      </c>
      <c r="F173" s="8">
        <f>IF($A173="","",IF(E173&lt;=0.8,"A",IF(E173&lt;=0.95,"B","C")))</f>
        <v/>
      </c>
    </row>
    <row r="174">
      <c r="A174" s="8">
        <f>IF(173&gt;COUNT('Master Inventory'!$G:$G),"",INDEX('Master Inventory'!$A:$A,MATCH(173,'Master Inventory'!$J:$J,0)))</f>
        <v/>
      </c>
      <c r="B174" s="8">
        <f>IF($A174="","",INDEX('Master Inventory'!$B:$B,MATCH($A174,'Master Inventory'!$A:$A,0)))</f>
        <v/>
      </c>
      <c r="C174" s="7">
        <f>IF($A174="","",INDEX('Master Inventory'!$G:$G,MATCH($A174,'Master Inventory'!$A:$A,0)))</f>
        <v/>
      </c>
      <c r="D174" s="7">
        <f>IF($A174="","",D173+C174)</f>
        <v/>
      </c>
      <c r="E174" s="9">
        <f>IF($A174="","",D174/SUM('Master Inventory'!$G:$G))</f>
        <v/>
      </c>
      <c r="F174" s="8">
        <f>IF($A174="","",IF(E174&lt;=0.8,"A",IF(E174&lt;=0.95,"B","C")))</f>
        <v/>
      </c>
    </row>
    <row r="175">
      <c r="A175" s="8">
        <f>IF(174&gt;COUNT('Master Inventory'!$G:$G),"",INDEX('Master Inventory'!$A:$A,MATCH(174,'Master Inventory'!$J:$J,0)))</f>
        <v/>
      </c>
      <c r="B175" s="8">
        <f>IF($A175="","",INDEX('Master Inventory'!$B:$B,MATCH($A175,'Master Inventory'!$A:$A,0)))</f>
        <v/>
      </c>
      <c r="C175" s="7">
        <f>IF($A175="","",INDEX('Master Inventory'!$G:$G,MATCH($A175,'Master Inventory'!$A:$A,0)))</f>
        <v/>
      </c>
      <c r="D175" s="7">
        <f>IF($A175="","",D174+C175)</f>
        <v/>
      </c>
      <c r="E175" s="9">
        <f>IF($A175="","",D175/SUM('Master Inventory'!$G:$G))</f>
        <v/>
      </c>
      <c r="F175" s="8">
        <f>IF($A175="","",IF(E175&lt;=0.8,"A",IF(E175&lt;=0.95,"B","C")))</f>
        <v/>
      </c>
    </row>
    <row r="176">
      <c r="A176" s="8">
        <f>IF(175&gt;COUNT('Master Inventory'!$G:$G),"",INDEX('Master Inventory'!$A:$A,MATCH(175,'Master Inventory'!$J:$J,0)))</f>
        <v/>
      </c>
      <c r="B176" s="8">
        <f>IF($A176="","",INDEX('Master Inventory'!$B:$B,MATCH($A176,'Master Inventory'!$A:$A,0)))</f>
        <v/>
      </c>
      <c r="C176" s="7">
        <f>IF($A176="","",INDEX('Master Inventory'!$G:$G,MATCH($A176,'Master Inventory'!$A:$A,0)))</f>
        <v/>
      </c>
      <c r="D176" s="7">
        <f>IF($A176="","",D175+C176)</f>
        <v/>
      </c>
      <c r="E176" s="9">
        <f>IF($A176="","",D176/SUM('Master Inventory'!$G:$G))</f>
        <v/>
      </c>
      <c r="F176" s="8">
        <f>IF($A176="","",IF(E176&lt;=0.8,"A",IF(E176&lt;=0.95,"B","C")))</f>
        <v/>
      </c>
    </row>
    <row r="177">
      <c r="A177" s="8">
        <f>IF(176&gt;COUNT('Master Inventory'!$G:$G),"",INDEX('Master Inventory'!$A:$A,MATCH(176,'Master Inventory'!$J:$J,0)))</f>
        <v/>
      </c>
      <c r="B177" s="8">
        <f>IF($A177="","",INDEX('Master Inventory'!$B:$B,MATCH($A177,'Master Inventory'!$A:$A,0)))</f>
        <v/>
      </c>
      <c r="C177" s="7">
        <f>IF($A177="","",INDEX('Master Inventory'!$G:$G,MATCH($A177,'Master Inventory'!$A:$A,0)))</f>
        <v/>
      </c>
      <c r="D177" s="7">
        <f>IF($A177="","",D176+C177)</f>
        <v/>
      </c>
      <c r="E177" s="9">
        <f>IF($A177="","",D177/SUM('Master Inventory'!$G:$G))</f>
        <v/>
      </c>
      <c r="F177" s="8">
        <f>IF($A177="","",IF(E177&lt;=0.8,"A",IF(E177&lt;=0.95,"B","C")))</f>
        <v/>
      </c>
    </row>
    <row r="178">
      <c r="A178" s="8">
        <f>IF(177&gt;COUNT('Master Inventory'!$G:$G),"",INDEX('Master Inventory'!$A:$A,MATCH(177,'Master Inventory'!$J:$J,0)))</f>
        <v/>
      </c>
      <c r="B178" s="8">
        <f>IF($A178="","",INDEX('Master Inventory'!$B:$B,MATCH($A178,'Master Inventory'!$A:$A,0)))</f>
        <v/>
      </c>
      <c r="C178" s="7">
        <f>IF($A178="","",INDEX('Master Inventory'!$G:$G,MATCH($A178,'Master Inventory'!$A:$A,0)))</f>
        <v/>
      </c>
      <c r="D178" s="7">
        <f>IF($A178="","",D177+C178)</f>
        <v/>
      </c>
      <c r="E178" s="9">
        <f>IF($A178="","",D178/SUM('Master Inventory'!$G:$G))</f>
        <v/>
      </c>
      <c r="F178" s="8">
        <f>IF($A178="","",IF(E178&lt;=0.8,"A",IF(E178&lt;=0.95,"B","C")))</f>
        <v/>
      </c>
    </row>
    <row r="179">
      <c r="A179" s="8">
        <f>IF(178&gt;COUNT('Master Inventory'!$G:$G),"",INDEX('Master Inventory'!$A:$A,MATCH(178,'Master Inventory'!$J:$J,0)))</f>
        <v/>
      </c>
      <c r="B179" s="8">
        <f>IF($A179="","",INDEX('Master Inventory'!$B:$B,MATCH($A179,'Master Inventory'!$A:$A,0)))</f>
        <v/>
      </c>
      <c r="C179" s="7">
        <f>IF($A179="","",INDEX('Master Inventory'!$G:$G,MATCH($A179,'Master Inventory'!$A:$A,0)))</f>
        <v/>
      </c>
      <c r="D179" s="7">
        <f>IF($A179="","",D178+C179)</f>
        <v/>
      </c>
      <c r="E179" s="9">
        <f>IF($A179="","",D179/SUM('Master Inventory'!$G:$G))</f>
        <v/>
      </c>
      <c r="F179" s="8">
        <f>IF($A179="","",IF(E179&lt;=0.8,"A",IF(E179&lt;=0.95,"B","C")))</f>
        <v/>
      </c>
    </row>
    <row r="180">
      <c r="A180" s="8">
        <f>IF(179&gt;COUNT('Master Inventory'!$G:$G),"",INDEX('Master Inventory'!$A:$A,MATCH(179,'Master Inventory'!$J:$J,0)))</f>
        <v/>
      </c>
      <c r="B180" s="8">
        <f>IF($A180="","",INDEX('Master Inventory'!$B:$B,MATCH($A180,'Master Inventory'!$A:$A,0)))</f>
        <v/>
      </c>
      <c r="C180" s="7">
        <f>IF($A180="","",INDEX('Master Inventory'!$G:$G,MATCH($A180,'Master Inventory'!$A:$A,0)))</f>
        <v/>
      </c>
      <c r="D180" s="7">
        <f>IF($A180="","",D179+C180)</f>
        <v/>
      </c>
      <c r="E180" s="9">
        <f>IF($A180="","",D180/SUM('Master Inventory'!$G:$G))</f>
        <v/>
      </c>
      <c r="F180" s="8">
        <f>IF($A180="","",IF(E180&lt;=0.8,"A",IF(E180&lt;=0.95,"B","C")))</f>
        <v/>
      </c>
    </row>
    <row r="181">
      <c r="A181" s="8">
        <f>IF(180&gt;COUNT('Master Inventory'!$G:$G),"",INDEX('Master Inventory'!$A:$A,MATCH(180,'Master Inventory'!$J:$J,0)))</f>
        <v/>
      </c>
      <c r="B181" s="8">
        <f>IF($A181="","",INDEX('Master Inventory'!$B:$B,MATCH($A181,'Master Inventory'!$A:$A,0)))</f>
        <v/>
      </c>
      <c r="C181" s="7">
        <f>IF($A181="","",INDEX('Master Inventory'!$G:$G,MATCH($A181,'Master Inventory'!$A:$A,0)))</f>
        <v/>
      </c>
      <c r="D181" s="7">
        <f>IF($A181="","",D180+C181)</f>
        <v/>
      </c>
      <c r="E181" s="9">
        <f>IF($A181="","",D181/SUM('Master Inventory'!$G:$G))</f>
        <v/>
      </c>
      <c r="F181" s="8">
        <f>IF($A181="","",IF(E181&lt;=0.8,"A",IF(E181&lt;=0.95,"B","C")))</f>
        <v/>
      </c>
    </row>
    <row r="182">
      <c r="A182" s="8">
        <f>IF(181&gt;COUNT('Master Inventory'!$G:$G),"",INDEX('Master Inventory'!$A:$A,MATCH(181,'Master Inventory'!$J:$J,0)))</f>
        <v/>
      </c>
      <c r="B182" s="8">
        <f>IF($A182="","",INDEX('Master Inventory'!$B:$B,MATCH($A182,'Master Inventory'!$A:$A,0)))</f>
        <v/>
      </c>
      <c r="C182" s="7">
        <f>IF($A182="","",INDEX('Master Inventory'!$G:$G,MATCH($A182,'Master Inventory'!$A:$A,0)))</f>
        <v/>
      </c>
      <c r="D182" s="7">
        <f>IF($A182="","",D181+C182)</f>
        <v/>
      </c>
      <c r="E182" s="9">
        <f>IF($A182="","",D182/SUM('Master Inventory'!$G:$G))</f>
        <v/>
      </c>
      <c r="F182" s="8">
        <f>IF($A182="","",IF(E182&lt;=0.8,"A",IF(E182&lt;=0.95,"B","C")))</f>
        <v/>
      </c>
    </row>
    <row r="183">
      <c r="A183" s="8">
        <f>IF(182&gt;COUNT('Master Inventory'!$G:$G),"",INDEX('Master Inventory'!$A:$A,MATCH(182,'Master Inventory'!$J:$J,0)))</f>
        <v/>
      </c>
      <c r="B183" s="8">
        <f>IF($A183="","",INDEX('Master Inventory'!$B:$B,MATCH($A183,'Master Inventory'!$A:$A,0)))</f>
        <v/>
      </c>
      <c r="C183" s="7">
        <f>IF($A183="","",INDEX('Master Inventory'!$G:$G,MATCH($A183,'Master Inventory'!$A:$A,0)))</f>
        <v/>
      </c>
      <c r="D183" s="7">
        <f>IF($A183="","",D182+C183)</f>
        <v/>
      </c>
      <c r="E183" s="9">
        <f>IF($A183="","",D183/SUM('Master Inventory'!$G:$G))</f>
        <v/>
      </c>
      <c r="F183" s="8">
        <f>IF($A183="","",IF(E183&lt;=0.8,"A",IF(E183&lt;=0.95,"B","C")))</f>
        <v/>
      </c>
    </row>
    <row r="184">
      <c r="A184" s="8">
        <f>IF(183&gt;COUNT('Master Inventory'!$G:$G),"",INDEX('Master Inventory'!$A:$A,MATCH(183,'Master Inventory'!$J:$J,0)))</f>
        <v/>
      </c>
      <c r="B184" s="8">
        <f>IF($A184="","",INDEX('Master Inventory'!$B:$B,MATCH($A184,'Master Inventory'!$A:$A,0)))</f>
        <v/>
      </c>
      <c r="C184" s="7">
        <f>IF($A184="","",INDEX('Master Inventory'!$G:$G,MATCH($A184,'Master Inventory'!$A:$A,0)))</f>
        <v/>
      </c>
      <c r="D184" s="7">
        <f>IF($A184="","",D183+C184)</f>
        <v/>
      </c>
      <c r="E184" s="9">
        <f>IF($A184="","",D184/SUM('Master Inventory'!$G:$G))</f>
        <v/>
      </c>
      <c r="F184" s="8">
        <f>IF($A184="","",IF(E184&lt;=0.8,"A",IF(E184&lt;=0.95,"B","C")))</f>
        <v/>
      </c>
    </row>
    <row r="185">
      <c r="A185" s="8">
        <f>IF(184&gt;COUNT('Master Inventory'!$G:$G),"",INDEX('Master Inventory'!$A:$A,MATCH(184,'Master Inventory'!$J:$J,0)))</f>
        <v/>
      </c>
      <c r="B185" s="8">
        <f>IF($A185="","",INDEX('Master Inventory'!$B:$B,MATCH($A185,'Master Inventory'!$A:$A,0)))</f>
        <v/>
      </c>
      <c r="C185" s="7">
        <f>IF($A185="","",INDEX('Master Inventory'!$G:$G,MATCH($A185,'Master Inventory'!$A:$A,0)))</f>
        <v/>
      </c>
      <c r="D185" s="7">
        <f>IF($A185="","",D184+C185)</f>
        <v/>
      </c>
      <c r="E185" s="9">
        <f>IF($A185="","",D185/SUM('Master Inventory'!$G:$G))</f>
        <v/>
      </c>
      <c r="F185" s="8">
        <f>IF($A185="","",IF(E185&lt;=0.8,"A",IF(E185&lt;=0.95,"B","C")))</f>
        <v/>
      </c>
    </row>
    <row r="186">
      <c r="A186" s="8">
        <f>IF(185&gt;COUNT('Master Inventory'!$G:$G),"",INDEX('Master Inventory'!$A:$A,MATCH(185,'Master Inventory'!$J:$J,0)))</f>
        <v/>
      </c>
      <c r="B186" s="8">
        <f>IF($A186="","",INDEX('Master Inventory'!$B:$B,MATCH($A186,'Master Inventory'!$A:$A,0)))</f>
        <v/>
      </c>
      <c r="C186" s="7">
        <f>IF($A186="","",INDEX('Master Inventory'!$G:$G,MATCH($A186,'Master Inventory'!$A:$A,0)))</f>
        <v/>
      </c>
      <c r="D186" s="7">
        <f>IF($A186="","",D185+C186)</f>
        <v/>
      </c>
      <c r="E186" s="9">
        <f>IF($A186="","",D186/SUM('Master Inventory'!$G:$G))</f>
        <v/>
      </c>
      <c r="F186" s="8">
        <f>IF($A186="","",IF(E186&lt;=0.8,"A",IF(E186&lt;=0.95,"B","C")))</f>
        <v/>
      </c>
    </row>
    <row r="187">
      <c r="A187" s="8">
        <f>IF(186&gt;COUNT('Master Inventory'!$G:$G),"",INDEX('Master Inventory'!$A:$A,MATCH(186,'Master Inventory'!$J:$J,0)))</f>
        <v/>
      </c>
      <c r="B187" s="8">
        <f>IF($A187="","",INDEX('Master Inventory'!$B:$B,MATCH($A187,'Master Inventory'!$A:$A,0)))</f>
        <v/>
      </c>
      <c r="C187" s="7">
        <f>IF($A187="","",INDEX('Master Inventory'!$G:$G,MATCH($A187,'Master Inventory'!$A:$A,0)))</f>
        <v/>
      </c>
      <c r="D187" s="7">
        <f>IF($A187="","",D186+C187)</f>
        <v/>
      </c>
      <c r="E187" s="9">
        <f>IF($A187="","",D187/SUM('Master Inventory'!$G:$G))</f>
        <v/>
      </c>
      <c r="F187" s="8">
        <f>IF($A187="","",IF(E187&lt;=0.8,"A",IF(E187&lt;=0.95,"B","C")))</f>
        <v/>
      </c>
    </row>
    <row r="188">
      <c r="A188" s="8">
        <f>IF(187&gt;COUNT('Master Inventory'!$G:$G),"",INDEX('Master Inventory'!$A:$A,MATCH(187,'Master Inventory'!$J:$J,0)))</f>
        <v/>
      </c>
      <c r="B188" s="8">
        <f>IF($A188="","",INDEX('Master Inventory'!$B:$B,MATCH($A188,'Master Inventory'!$A:$A,0)))</f>
        <v/>
      </c>
      <c r="C188" s="7">
        <f>IF($A188="","",INDEX('Master Inventory'!$G:$G,MATCH($A188,'Master Inventory'!$A:$A,0)))</f>
        <v/>
      </c>
      <c r="D188" s="7">
        <f>IF($A188="","",D187+C188)</f>
        <v/>
      </c>
      <c r="E188" s="9">
        <f>IF($A188="","",D188/SUM('Master Inventory'!$G:$G))</f>
        <v/>
      </c>
      <c r="F188" s="8">
        <f>IF($A188="","",IF(E188&lt;=0.8,"A",IF(E188&lt;=0.95,"B","C")))</f>
        <v/>
      </c>
    </row>
    <row r="189">
      <c r="A189" s="8">
        <f>IF(188&gt;COUNT('Master Inventory'!$G:$G),"",INDEX('Master Inventory'!$A:$A,MATCH(188,'Master Inventory'!$J:$J,0)))</f>
        <v/>
      </c>
      <c r="B189" s="8">
        <f>IF($A189="","",INDEX('Master Inventory'!$B:$B,MATCH($A189,'Master Inventory'!$A:$A,0)))</f>
        <v/>
      </c>
      <c r="C189" s="7">
        <f>IF($A189="","",INDEX('Master Inventory'!$G:$G,MATCH($A189,'Master Inventory'!$A:$A,0)))</f>
        <v/>
      </c>
      <c r="D189" s="7">
        <f>IF($A189="","",D188+C189)</f>
        <v/>
      </c>
      <c r="E189" s="9">
        <f>IF($A189="","",D189/SUM('Master Inventory'!$G:$G))</f>
        <v/>
      </c>
      <c r="F189" s="8">
        <f>IF($A189="","",IF(E189&lt;=0.8,"A",IF(E189&lt;=0.95,"B","C")))</f>
        <v/>
      </c>
    </row>
    <row r="190">
      <c r="A190" s="8">
        <f>IF(189&gt;COUNT('Master Inventory'!$G:$G),"",INDEX('Master Inventory'!$A:$A,MATCH(189,'Master Inventory'!$J:$J,0)))</f>
        <v/>
      </c>
      <c r="B190" s="8">
        <f>IF($A190="","",INDEX('Master Inventory'!$B:$B,MATCH($A190,'Master Inventory'!$A:$A,0)))</f>
        <v/>
      </c>
      <c r="C190" s="7">
        <f>IF($A190="","",INDEX('Master Inventory'!$G:$G,MATCH($A190,'Master Inventory'!$A:$A,0)))</f>
        <v/>
      </c>
      <c r="D190" s="7">
        <f>IF($A190="","",D189+C190)</f>
        <v/>
      </c>
      <c r="E190" s="9">
        <f>IF($A190="","",D190/SUM('Master Inventory'!$G:$G))</f>
        <v/>
      </c>
      <c r="F190" s="8">
        <f>IF($A190="","",IF(E190&lt;=0.8,"A",IF(E190&lt;=0.95,"B","C")))</f>
        <v/>
      </c>
    </row>
    <row r="191">
      <c r="A191" s="8">
        <f>IF(190&gt;COUNT('Master Inventory'!$G:$G),"",INDEX('Master Inventory'!$A:$A,MATCH(190,'Master Inventory'!$J:$J,0)))</f>
        <v/>
      </c>
      <c r="B191" s="8">
        <f>IF($A191="","",INDEX('Master Inventory'!$B:$B,MATCH($A191,'Master Inventory'!$A:$A,0)))</f>
        <v/>
      </c>
      <c r="C191" s="7">
        <f>IF($A191="","",INDEX('Master Inventory'!$G:$G,MATCH($A191,'Master Inventory'!$A:$A,0)))</f>
        <v/>
      </c>
      <c r="D191" s="7">
        <f>IF($A191="","",D190+C191)</f>
        <v/>
      </c>
      <c r="E191" s="9">
        <f>IF($A191="","",D191/SUM('Master Inventory'!$G:$G))</f>
        <v/>
      </c>
      <c r="F191" s="8">
        <f>IF($A191="","",IF(E191&lt;=0.8,"A",IF(E191&lt;=0.95,"B","C")))</f>
        <v/>
      </c>
    </row>
    <row r="192">
      <c r="A192" s="8">
        <f>IF(191&gt;COUNT('Master Inventory'!$G:$G),"",INDEX('Master Inventory'!$A:$A,MATCH(191,'Master Inventory'!$J:$J,0)))</f>
        <v/>
      </c>
      <c r="B192" s="8">
        <f>IF($A192="","",INDEX('Master Inventory'!$B:$B,MATCH($A192,'Master Inventory'!$A:$A,0)))</f>
        <v/>
      </c>
      <c r="C192" s="7">
        <f>IF($A192="","",INDEX('Master Inventory'!$G:$G,MATCH($A192,'Master Inventory'!$A:$A,0)))</f>
        <v/>
      </c>
      <c r="D192" s="7">
        <f>IF($A192="","",D191+C192)</f>
        <v/>
      </c>
      <c r="E192" s="9">
        <f>IF($A192="","",D192/SUM('Master Inventory'!$G:$G))</f>
        <v/>
      </c>
      <c r="F192" s="8">
        <f>IF($A192="","",IF(E192&lt;=0.8,"A",IF(E192&lt;=0.95,"B","C")))</f>
        <v/>
      </c>
    </row>
    <row r="193">
      <c r="A193" s="8">
        <f>IF(192&gt;COUNT('Master Inventory'!$G:$G),"",INDEX('Master Inventory'!$A:$A,MATCH(192,'Master Inventory'!$J:$J,0)))</f>
        <v/>
      </c>
      <c r="B193" s="8">
        <f>IF($A193="","",INDEX('Master Inventory'!$B:$B,MATCH($A193,'Master Inventory'!$A:$A,0)))</f>
        <v/>
      </c>
      <c r="C193" s="7">
        <f>IF($A193="","",INDEX('Master Inventory'!$G:$G,MATCH($A193,'Master Inventory'!$A:$A,0)))</f>
        <v/>
      </c>
      <c r="D193" s="7">
        <f>IF($A193="","",D192+C193)</f>
        <v/>
      </c>
      <c r="E193" s="9">
        <f>IF($A193="","",D193/SUM('Master Inventory'!$G:$G))</f>
        <v/>
      </c>
      <c r="F193" s="8">
        <f>IF($A193="","",IF(E193&lt;=0.8,"A",IF(E193&lt;=0.95,"B","C")))</f>
        <v/>
      </c>
    </row>
    <row r="194">
      <c r="A194" s="8">
        <f>IF(193&gt;COUNT('Master Inventory'!$G:$G),"",INDEX('Master Inventory'!$A:$A,MATCH(193,'Master Inventory'!$J:$J,0)))</f>
        <v/>
      </c>
      <c r="B194" s="8">
        <f>IF($A194="","",INDEX('Master Inventory'!$B:$B,MATCH($A194,'Master Inventory'!$A:$A,0)))</f>
        <v/>
      </c>
      <c r="C194" s="7">
        <f>IF($A194="","",INDEX('Master Inventory'!$G:$G,MATCH($A194,'Master Inventory'!$A:$A,0)))</f>
        <v/>
      </c>
      <c r="D194" s="7">
        <f>IF($A194="","",D193+C194)</f>
        <v/>
      </c>
      <c r="E194" s="9">
        <f>IF($A194="","",D194/SUM('Master Inventory'!$G:$G))</f>
        <v/>
      </c>
      <c r="F194" s="8">
        <f>IF($A194="","",IF(E194&lt;=0.8,"A",IF(E194&lt;=0.95,"B","C")))</f>
        <v/>
      </c>
    </row>
    <row r="195">
      <c r="A195" s="8">
        <f>IF(194&gt;COUNT('Master Inventory'!$G:$G),"",INDEX('Master Inventory'!$A:$A,MATCH(194,'Master Inventory'!$J:$J,0)))</f>
        <v/>
      </c>
      <c r="B195" s="8">
        <f>IF($A195="","",INDEX('Master Inventory'!$B:$B,MATCH($A195,'Master Inventory'!$A:$A,0)))</f>
        <v/>
      </c>
      <c r="C195" s="7">
        <f>IF($A195="","",INDEX('Master Inventory'!$G:$G,MATCH($A195,'Master Inventory'!$A:$A,0)))</f>
        <v/>
      </c>
      <c r="D195" s="7">
        <f>IF($A195="","",D194+C195)</f>
        <v/>
      </c>
      <c r="E195" s="9">
        <f>IF($A195="","",D195/SUM('Master Inventory'!$G:$G))</f>
        <v/>
      </c>
      <c r="F195" s="8">
        <f>IF($A195="","",IF(E195&lt;=0.8,"A",IF(E195&lt;=0.95,"B","C")))</f>
        <v/>
      </c>
    </row>
    <row r="196">
      <c r="A196" s="8">
        <f>IF(195&gt;COUNT('Master Inventory'!$G:$G),"",INDEX('Master Inventory'!$A:$A,MATCH(195,'Master Inventory'!$J:$J,0)))</f>
        <v/>
      </c>
      <c r="B196" s="8">
        <f>IF($A196="","",INDEX('Master Inventory'!$B:$B,MATCH($A196,'Master Inventory'!$A:$A,0)))</f>
        <v/>
      </c>
      <c r="C196" s="7">
        <f>IF($A196="","",INDEX('Master Inventory'!$G:$G,MATCH($A196,'Master Inventory'!$A:$A,0)))</f>
        <v/>
      </c>
      <c r="D196" s="7">
        <f>IF($A196="","",D195+C196)</f>
        <v/>
      </c>
      <c r="E196" s="9">
        <f>IF($A196="","",D196/SUM('Master Inventory'!$G:$G))</f>
        <v/>
      </c>
      <c r="F196" s="8">
        <f>IF($A196="","",IF(E196&lt;=0.8,"A",IF(E196&lt;=0.95,"B","C")))</f>
        <v/>
      </c>
    </row>
    <row r="197">
      <c r="A197" s="8">
        <f>IF(196&gt;COUNT('Master Inventory'!$G:$G),"",INDEX('Master Inventory'!$A:$A,MATCH(196,'Master Inventory'!$J:$J,0)))</f>
        <v/>
      </c>
      <c r="B197" s="8">
        <f>IF($A197="","",INDEX('Master Inventory'!$B:$B,MATCH($A197,'Master Inventory'!$A:$A,0)))</f>
        <v/>
      </c>
      <c r="C197" s="7">
        <f>IF($A197="","",INDEX('Master Inventory'!$G:$G,MATCH($A197,'Master Inventory'!$A:$A,0)))</f>
        <v/>
      </c>
      <c r="D197" s="7">
        <f>IF($A197="","",D196+C197)</f>
        <v/>
      </c>
      <c r="E197" s="9">
        <f>IF($A197="","",D197/SUM('Master Inventory'!$G:$G))</f>
        <v/>
      </c>
      <c r="F197" s="8">
        <f>IF($A197="","",IF(E197&lt;=0.8,"A",IF(E197&lt;=0.95,"B","C")))</f>
        <v/>
      </c>
    </row>
    <row r="198">
      <c r="A198" s="8">
        <f>IF(197&gt;COUNT('Master Inventory'!$G:$G),"",INDEX('Master Inventory'!$A:$A,MATCH(197,'Master Inventory'!$J:$J,0)))</f>
        <v/>
      </c>
      <c r="B198" s="8">
        <f>IF($A198="","",INDEX('Master Inventory'!$B:$B,MATCH($A198,'Master Inventory'!$A:$A,0)))</f>
        <v/>
      </c>
      <c r="C198" s="7">
        <f>IF($A198="","",INDEX('Master Inventory'!$G:$G,MATCH($A198,'Master Inventory'!$A:$A,0)))</f>
        <v/>
      </c>
      <c r="D198" s="7">
        <f>IF($A198="","",D197+C198)</f>
        <v/>
      </c>
      <c r="E198" s="9">
        <f>IF($A198="","",D198/SUM('Master Inventory'!$G:$G))</f>
        <v/>
      </c>
      <c r="F198" s="8">
        <f>IF($A198="","",IF(E198&lt;=0.8,"A",IF(E198&lt;=0.95,"B","C")))</f>
        <v/>
      </c>
    </row>
    <row r="199">
      <c r="A199" s="8">
        <f>IF(198&gt;COUNT('Master Inventory'!$G:$G),"",INDEX('Master Inventory'!$A:$A,MATCH(198,'Master Inventory'!$J:$J,0)))</f>
        <v/>
      </c>
      <c r="B199" s="8">
        <f>IF($A199="","",INDEX('Master Inventory'!$B:$B,MATCH($A199,'Master Inventory'!$A:$A,0)))</f>
        <v/>
      </c>
      <c r="C199" s="7">
        <f>IF($A199="","",INDEX('Master Inventory'!$G:$G,MATCH($A199,'Master Inventory'!$A:$A,0)))</f>
        <v/>
      </c>
      <c r="D199" s="7">
        <f>IF($A199="","",D198+C199)</f>
        <v/>
      </c>
      <c r="E199" s="9">
        <f>IF($A199="","",D199/SUM('Master Inventory'!$G:$G))</f>
        <v/>
      </c>
      <c r="F199" s="8">
        <f>IF($A199="","",IF(E199&lt;=0.8,"A",IF(E199&lt;=0.95,"B","C")))</f>
        <v/>
      </c>
    </row>
    <row r="200">
      <c r="A200" s="8">
        <f>IF(199&gt;COUNT('Master Inventory'!$G:$G),"",INDEX('Master Inventory'!$A:$A,MATCH(199,'Master Inventory'!$J:$J,0)))</f>
        <v/>
      </c>
      <c r="B200" s="8">
        <f>IF($A200="","",INDEX('Master Inventory'!$B:$B,MATCH($A200,'Master Inventory'!$A:$A,0)))</f>
        <v/>
      </c>
      <c r="C200" s="7">
        <f>IF($A200="","",INDEX('Master Inventory'!$G:$G,MATCH($A200,'Master Inventory'!$A:$A,0)))</f>
        <v/>
      </c>
      <c r="D200" s="7">
        <f>IF($A200="","",D199+C200)</f>
        <v/>
      </c>
      <c r="E200" s="9">
        <f>IF($A200="","",D200/SUM('Master Inventory'!$G:$G))</f>
        <v/>
      </c>
      <c r="F200" s="8">
        <f>IF($A200="","",IF(E200&lt;=0.8,"A",IF(E200&lt;=0.95,"B","C")))</f>
        <v/>
      </c>
    </row>
    <row r="201">
      <c r="A201" s="8">
        <f>IF(200&gt;COUNT('Master Inventory'!$G:$G),"",INDEX('Master Inventory'!$A:$A,MATCH(200,'Master Inventory'!$J:$J,0)))</f>
        <v/>
      </c>
      <c r="B201" s="8">
        <f>IF($A201="","",INDEX('Master Inventory'!$B:$B,MATCH($A201,'Master Inventory'!$A:$A,0)))</f>
        <v/>
      </c>
      <c r="C201" s="7">
        <f>IF($A201="","",INDEX('Master Inventory'!$G:$G,MATCH($A201,'Master Inventory'!$A:$A,0)))</f>
        <v/>
      </c>
      <c r="D201" s="7">
        <f>IF($A201="","",D200+C201)</f>
        <v/>
      </c>
      <c r="E201" s="9">
        <f>IF($A201="","",D201/SUM('Master Inventory'!$G:$G))</f>
        <v/>
      </c>
      <c r="F201" s="8">
        <f>IF($A201="","",IF(E201&lt;=0.8,"A",IF(E201&lt;=0.95,"B","C")))</f>
        <v/>
      </c>
    </row>
    <row r="202">
      <c r="A202" s="8">
        <f>IF(201&gt;COUNT('Master Inventory'!$G:$G),"",INDEX('Master Inventory'!$A:$A,MATCH(201,'Master Inventory'!$J:$J,0)))</f>
        <v/>
      </c>
      <c r="B202" s="8">
        <f>IF($A202="","",INDEX('Master Inventory'!$B:$B,MATCH($A202,'Master Inventory'!$A:$A,0)))</f>
        <v/>
      </c>
      <c r="C202" s="7">
        <f>IF($A202="","",INDEX('Master Inventory'!$G:$G,MATCH($A202,'Master Inventory'!$A:$A,0)))</f>
        <v/>
      </c>
      <c r="D202" s="7">
        <f>IF($A202="","",D201+C202)</f>
        <v/>
      </c>
      <c r="E202" s="9">
        <f>IF($A202="","",D202/SUM('Master Inventory'!$G:$G))</f>
        <v/>
      </c>
      <c r="F202" s="8">
        <f>IF($A202="","",IF(E202&lt;=0.8,"A",IF(E202&lt;=0.95,"B","C")))</f>
        <v/>
      </c>
    </row>
    <row r="203">
      <c r="A203" s="8">
        <f>IF(202&gt;COUNT('Master Inventory'!$G:$G),"",INDEX('Master Inventory'!$A:$A,MATCH(202,'Master Inventory'!$J:$J,0)))</f>
        <v/>
      </c>
      <c r="B203" s="8">
        <f>IF($A203="","",INDEX('Master Inventory'!$B:$B,MATCH($A203,'Master Inventory'!$A:$A,0)))</f>
        <v/>
      </c>
      <c r="C203" s="7">
        <f>IF($A203="","",INDEX('Master Inventory'!$G:$G,MATCH($A203,'Master Inventory'!$A:$A,0)))</f>
        <v/>
      </c>
      <c r="D203" s="7">
        <f>IF($A203="","",D202+C203)</f>
        <v/>
      </c>
      <c r="E203" s="9">
        <f>IF($A203="","",D203/SUM('Master Inventory'!$G:$G))</f>
        <v/>
      </c>
      <c r="F203" s="8">
        <f>IF($A203="","",IF(E203&lt;=0.8,"A",IF(E203&lt;=0.95,"B","C")))</f>
        <v/>
      </c>
    </row>
    <row r="204">
      <c r="A204" s="8">
        <f>IF(203&gt;COUNT('Master Inventory'!$G:$G),"",INDEX('Master Inventory'!$A:$A,MATCH(203,'Master Inventory'!$J:$J,0)))</f>
        <v/>
      </c>
      <c r="B204" s="8">
        <f>IF($A204="","",INDEX('Master Inventory'!$B:$B,MATCH($A204,'Master Inventory'!$A:$A,0)))</f>
        <v/>
      </c>
      <c r="C204" s="7">
        <f>IF($A204="","",INDEX('Master Inventory'!$G:$G,MATCH($A204,'Master Inventory'!$A:$A,0)))</f>
        <v/>
      </c>
      <c r="D204" s="7">
        <f>IF($A204="","",D203+C204)</f>
        <v/>
      </c>
      <c r="E204" s="9">
        <f>IF($A204="","",D204/SUM('Master Inventory'!$G:$G))</f>
        <v/>
      </c>
      <c r="F204" s="8">
        <f>IF($A204="","",IF(E204&lt;=0.8,"A",IF(E204&lt;=0.95,"B","C")))</f>
        <v/>
      </c>
    </row>
    <row r="205">
      <c r="A205" s="8">
        <f>IF(204&gt;COUNT('Master Inventory'!$G:$G),"",INDEX('Master Inventory'!$A:$A,MATCH(204,'Master Inventory'!$J:$J,0)))</f>
        <v/>
      </c>
      <c r="B205" s="8">
        <f>IF($A205="","",INDEX('Master Inventory'!$B:$B,MATCH($A205,'Master Inventory'!$A:$A,0)))</f>
        <v/>
      </c>
      <c r="C205" s="7">
        <f>IF($A205="","",INDEX('Master Inventory'!$G:$G,MATCH($A205,'Master Inventory'!$A:$A,0)))</f>
        <v/>
      </c>
      <c r="D205" s="7">
        <f>IF($A205="","",D204+C205)</f>
        <v/>
      </c>
      <c r="E205" s="9">
        <f>IF($A205="","",D205/SUM('Master Inventory'!$G:$G))</f>
        <v/>
      </c>
      <c r="F205" s="8">
        <f>IF($A205="","",IF(E205&lt;=0.8,"A",IF(E205&lt;=0.95,"B","C")))</f>
        <v/>
      </c>
    </row>
    <row r="206">
      <c r="A206" s="8">
        <f>IF(205&gt;COUNT('Master Inventory'!$G:$G),"",INDEX('Master Inventory'!$A:$A,MATCH(205,'Master Inventory'!$J:$J,0)))</f>
        <v/>
      </c>
      <c r="B206" s="8">
        <f>IF($A206="","",INDEX('Master Inventory'!$B:$B,MATCH($A206,'Master Inventory'!$A:$A,0)))</f>
        <v/>
      </c>
      <c r="C206" s="7">
        <f>IF($A206="","",INDEX('Master Inventory'!$G:$G,MATCH($A206,'Master Inventory'!$A:$A,0)))</f>
        <v/>
      </c>
      <c r="D206" s="7">
        <f>IF($A206="","",D205+C206)</f>
        <v/>
      </c>
      <c r="E206" s="9">
        <f>IF($A206="","",D206/SUM('Master Inventory'!$G:$G))</f>
        <v/>
      </c>
      <c r="F206" s="8">
        <f>IF($A206="","",IF(E206&lt;=0.8,"A",IF(E206&lt;=0.95,"B","C")))</f>
        <v/>
      </c>
    </row>
    <row r="207">
      <c r="A207" s="8">
        <f>IF(206&gt;COUNT('Master Inventory'!$G:$G),"",INDEX('Master Inventory'!$A:$A,MATCH(206,'Master Inventory'!$J:$J,0)))</f>
        <v/>
      </c>
      <c r="B207" s="8">
        <f>IF($A207="","",INDEX('Master Inventory'!$B:$B,MATCH($A207,'Master Inventory'!$A:$A,0)))</f>
        <v/>
      </c>
      <c r="C207" s="7">
        <f>IF($A207="","",INDEX('Master Inventory'!$G:$G,MATCH($A207,'Master Inventory'!$A:$A,0)))</f>
        <v/>
      </c>
      <c r="D207" s="7">
        <f>IF($A207="","",D206+C207)</f>
        <v/>
      </c>
      <c r="E207" s="9">
        <f>IF($A207="","",D207/SUM('Master Inventory'!$G:$G))</f>
        <v/>
      </c>
      <c r="F207" s="8">
        <f>IF($A207="","",IF(E207&lt;=0.8,"A",IF(E207&lt;=0.95,"B","C")))</f>
        <v/>
      </c>
    </row>
    <row r="208">
      <c r="A208" s="8">
        <f>IF(207&gt;COUNT('Master Inventory'!$G:$G),"",INDEX('Master Inventory'!$A:$A,MATCH(207,'Master Inventory'!$J:$J,0)))</f>
        <v/>
      </c>
      <c r="B208" s="8">
        <f>IF($A208="","",INDEX('Master Inventory'!$B:$B,MATCH($A208,'Master Inventory'!$A:$A,0)))</f>
        <v/>
      </c>
      <c r="C208" s="7">
        <f>IF($A208="","",INDEX('Master Inventory'!$G:$G,MATCH($A208,'Master Inventory'!$A:$A,0)))</f>
        <v/>
      </c>
      <c r="D208" s="7">
        <f>IF($A208="","",D207+C208)</f>
        <v/>
      </c>
      <c r="E208" s="9">
        <f>IF($A208="","",D208/SUM('Master Inventory'!$G:$G))</f>
        <v/>
      </c>
      <c r="F208" s="8">
        <f>IF($A208="","",IF(E208&lt;=0.8,"A",IF(E208&lt;=0.95,"B","C")))</f>
        <v/>
      </c>
    </row>
    <row r="209">
      <c r="A209" s="8">
        <f>IF(208&gt;COUNT('Master Inventory'!$G:$G),"",INDEX('Master Inventory'!$A:$A,MATCH(208,'Master Inventory'!$J:$J,0)))</f>
        <v/>
      </c>
      <c r="B209" s="8">
        <f>IF($A209="","",INDEX('Master Inventory'!$B:$B,MATCH($A209,'Master Inventory'!$A:$A,0)))</f>
        <v/>
      </c>
      <c r="C209" s="7">
        <f>IF($A209="","",INDEX('Master Inventory'!$G:$G,MATCH($A209,'Master Inventory'!$A:$A,0)))</f>
        <v/>
      </c>
      <c r="D209" s="7">
        <f>IF($A209="","",D208+C209)</f>
        <v/>
      </c>
      <c r="E209" s="9">
        <f>IF($A209="","",D209/SUM('Master Inventory'!$G:$G))</f>
        <v/>
      </c>
      <c r="F209" s="8">
        <f>IF($A209="","",IF(E209&lt;=0.8,"A",IF(E209&lt;=0.95,"B","C")))</f>
        <v/>
      </c>
    </row>
    <row r="210">
      <c r="A210" s="8">
        <f>IF(209&gt;COUNT('Master Inventory'!$G:$G),"",INDEX('Master Inventory'!$A:$A,MATCH(209,'Master Inventory'!$J:$J,0)))</f>
        <v/>
      </c>
      <c r="B210" s="8">
        <f>IF($A210="","",INDEX('Master Inventory'!$B:$B,MATCH($A210,'Master Inventory'!$A:$A,0)))</f>
        <v/>
      </c>
      <c r="C210" s="7">
        <f>IF($A210="","",INDEX('Master Inventory'!$G:$G,MATCH($A210,'Master Inventory'!$A:$A,0)))</f>
        <v/>
      </c>
      <c r="D210" s="7">
        <f>IF($A210="","",D209+C210)</f>
        <v/>
      </c>
      <c r="E210" s="9">
        <f>IF($A210="","",D210/SUM('Master Inventory'!$G:$G))</f>
        <v/>
      </c>
      <c r="F210" s="8">
        <f>IF($A210="","",IF(E210&lt;=0.8,"A",IF(E210&lt;=0.95,"B","C")))</f>
        <v/>
      </c>
    </row>
    <row r="211">
      <c r="A211" s="8">
        <f>IF(210&gt;COUNT('Master Inventory'!$G:$G),"",INDEX('Master Inventory'!$A:$A,MATCH(210,'Master Inventory'!$J:$J,0)))</f>
        <v/>
      </c>
      <c r="B211" s="8">
        <f>IF($A211="","",INDEX('Master Inventory'!$B:$B,MATCH($A211,'Master Inventory'!$A:$A,0)))</f>
        <v/>
      </c>
      <c r="C211" s="7">
        <f>IF($A211="","",INDEX('Master Inventory'!$G:$G,MATCH($A211,'Master Inventory'!$A:$A,0)))</f>
        <v/>
      </c>
      <c r="D211" s="7">
        <f>IF($A211="","",D210+C211)</f>
        <v/>
      </c>
      <c r="E211" s="9">
        <f>IF($A211="","",D211/SUM('Master Inventory'!$G:$G))</f>
        <v/>
      </c>
      <c r="F211" s="8">
        <f>IF($A211="","",IF(E211&lt;=0.8,"A",IF(E211&lt;=0.95,"B","C")))</f>
        <v/>
      </c>
    </row>
    <row r="212">
      <c r="A212" s="8">
        <f>IF(211&gt;COUNT('Master Inventory'!$G:$G),"",INDEX('Master Inventory'!$A:$A,MATCH(211,'Master Inventory'!$J:$J,0)))</f>
        <v/>
      </c>
      <c r="B212" s="8">
        <f>IF($A212="","",INDEX('Master Inventory'!$B:$B,MATCH($A212,'Master Inventory'!$A:$A,0)))</f>
        <v/>
      </c>
      <c r="C212" s="7">
        <f>IF($A212="","",INDEX('Master Inventory'!$G:$G,MATCH($A212,'Master Inventory'!$A:$A,0)))</f>
        <v/>
      </c>
      <c r="D212" s="7">
        <f>IF($A212="","",D211+C212)</f>
        <v/>
      </c>
      <c r="E212" s="9">
        <f>IF($A212="","",D212/SUM('Master Inventory'!$G:$G))</f>
        <v/>
      </c>
      <c r="F212" s="8">
        <f>IF($A212="","",IF(E212&lt;=0.8,"A",IF(E212&lt;=0.95,"B","C")))</f>
        <v/>
      </c>
    </row>
    <row r="213">
      <c r="A213" s="8">
        <f>IF(212&gt;COUNT('Master Inventory'!$G:$G),"",INDEX('Master Inventory'!$A:$A,MATCH(212,'Master Inventory'!$J:$J,0)))</f>
        <v/>
      </c>
      <c r="B213" s="8">
        <f>IF($A213="","",INDEX('Master Inventory'!$B:$B,MATCH($A213,'Master Inventory'!$A:$A,0)))</f>
        <v/>
      </c>
      <c r="C213" s="7">
        <f>IF($A213="","",INDEX('Master Inventory'!$G:$G,MATCH($A213,'Master Inventory'!$A:$A,0)))</f>
        <v/>
      </c>
      <c r="D213" s="7">
        <f>IF($A213="","",D212+C213)</f>
        <v/>
      </c>
      <c r="E213" s="9">
        <f>IF($A213="","",D213/SUM('Master Inventory'!$G:$G))</f>
        <v/>
      </c>
      <c r="F213" s="8">
        <f>IF($A213="","",IF(E213&lt;=0.8,"A",IF(E213&lt;=0.95,"B","C")))</f>
        <v/>
      </c>
    </row>
    <row r="214">
      <c r="A214" s="8">
        <f>IF(213&gt;COUNT('Master Inventory'!$G:$G),"",INDEX('Master Inventory'!$A:$A,MATCH(213,'Master Inventory'!$J:$J,0)))</f>
        <v/>
      </c>
      <c r="B214" s="8">
        <f>IF($A214="","",INDEX('Master Inventory'!$B:$B,MATCH($A214,'Master Inventory'!$A:$A,0)))</f>
        <v/>
      </c>
      <c r="C214" s="7">
        <f>IF($A214="","",INDEX('Master Inventory'!$G:$G,MATCH($A214,'Master Inventory'!$A:$A,0)))</f>
        <v/>
      </c>
      <c r="D214" s="7">
        <f>IF($A214="","",D213+C214)</f>
        <v/>
      </c>
      <c r="E214" s="9">
        <f>IF($A214="","",D214/SUM('Master Inventory'!$G:$G))</f>
        <v/>
      </c>
      <c r="F214" s="8">
        <f>IF($A214="","",IF(E214&lt;=0.8,"A",IF(E214&lt;=0.95,"B","C")))</f>
        <v/>
      </c>
    </row>
    <row r="215">
      <c r="A215" s="8">
        <f>IF(214&gt;COUNT('Master Inventory'!$G:$G),"",INDEX('Master Inventory'!$A:$A,MATCH(214,'Master Inventory'!$J:$J,0)))</f>
        <v/>
      </c>
      <c r="B215" s="8">
        <f>IF($A215="","",INDEX('Master Inventory'!$B:$B,MATCH($A215,'Master Inventory'!$A:$A,0)))</f>
        <v/>
      </c>
      <c r="C215" s="7">
        <f>IF($A215="","",INDEX('Master Inventory'!$G:$G,MATCH($A215,'Master Inventory'!$A:$A,0)))</f>
        <v/>
      </c>
      <c r="D215" s="7">
        <f>IF($A215="","",D214+C215)</f>
        <v/>
      </c>
      <c r="E215" s="9">
        <f>IF($A215="","",D215/SUM('Master Inventory'!$G:$G))</f>
        <v/>
      </c>
      <c r="F215" s="8">
        <f>IF($A215="","",IF(E215&lt;=0.8,"A",IF(E215&lt;=0.95,"B","C")))</f>
        <v/>
      </c>
    </row>
    <row r="216">
      <c r="A216" s="8">
        <f>IF(215&gt;COUNT('Master Inventory'!$G:$G),"",INDEX('Master Inventory'!$A:$A,MATCH(215,'Master Inventory'!$J:$J,0)))</f>
        <v/>
      </c>
      <c r="B216" s="8">
        <f>IF($A216="","",INDEX('Master Inventory'!$B:$B,MATCH($A216,'Master Inventory'!$A:$A,0)))</f>
        <v/>
      </c>
      <c r="C216" s="7">
        <f>IF($A216="","",INDEX('Master Inventory'!$G:$G,MATCH($A216,'Master Inventory'!$A:$A,0)))</f>
        <v/>
      </c>
      <c r="D216" s="7">
        <f>IF($A216="","",D215+C216)</f>
        <v/>
      </c>
      <c r="E216" s="9">
        <f>IF($A216="","",D216/SUM('Master Inventory'!$G:$G))</f>
        <v/>
      </c>
      <c r="F216" s="8">
        <f>IF($A216="","",IF(E216&lt;=0.8,"A",IF(E216&lt;=0.95,"B","C")))</f>
        <v/>
      </c>
    </row>
    <row r="217">
      <c r="A217" s="8">
        <f>IF(216&gt;COUNT('Master Inventory'!$G:$G),"",INDEX('Master Inventory'!$A:$A,MATCH(216,'Master Inventory'!$J:$J,0)))</f>
        <v/>
      </c>
      <c r="B217" s="8">
        <f>IF($A217="","",INDEX('Master Inventory'!$B:$B,MATCH($A217,'Master Inventory'!$A:$A,0)))</f>
        <v/>
      </c>
      <c r="C217" s="7">
        <f>IF($A217="","",INDEX('Master Inventory'!$G:$G,MATCH($A217,'Master Inventory'!$A:$A,0)))</f>
        <v/>
      </c>
      <c r="D217" s="7">
        <f>IF($A217="","",D216+C217)</f>
        <v/>
      </c>
      <c r="E217" s="9">
        <f>IF($A217="","",D217/SUM('Master Inventory'!$G:$G))</f>
        <v/>
      </c>
      <c r="F217" s="8">
        <f>IF($A217="","",IF(E217&lt;=0.8,"A",IF(E217&lt;=0.95,"B","C")))</f>
        <v/>
      </c>
    </row>
    <row r="218">
      <c r="A218" s="8">
        <f>IF(217&gt;COUNT('Master Inventory'!$G:$G),"",INDEX('Master Inventory'!$A:$A,MATCH(217,'Master Inventory'!$J:$J,0)))</f>
        <v/>
      </c>
      <c r="B218" s="8">
        <f>IF($A218="","",INDEX('Master Inventory'!$B:$B,MATCH($A218,'Master Inventory'!$A:$A,0)))</f>
        <v/>
      </c>
      <c r="C218" s="7">
        <f>IF($A218="","",INDEX('Master Inventory'!$G:$G,MATCH($A218,'Master Inventory'!$A:$A,0)))</f>
        <v/>
      </c>
      <c r="D218" s="7">
        <f>IF($A218="","",D217+C218)</f>
        <v/>
      </c>
      <c r="E218" s="9">
        <f>IF($A218="","",D218/SUM('Master Inventory'!$G:$G))</f>
        <v/>
      </c>
      <c r="F218" s="8">
        <f>IF($A218="","",IF(E218&lt;=0.8,"A",IF(E218&lt;=0.95,"B","C")))</f>
        <v/>
      </c>
    </row>
    <row r="219">
      <c r="A219" s="8">
        <f>IF(218&gt;COUNT('Master Inventory'!$G:$G),"",INDEX('Master Inventory'!$A:$A,MATCH(218,'Master Inventory'!$J:$J,0)))</f>
        <v/>
      </c>
      <c r="B219" s="8">
        <f>IF($A219="","",INDEX('Master Inventory'!$B:$B,MATCH($A219,'Master Inventory'!$A:$A,0)))</f>
        <v/>
      </c>
      <c r="C219" s="7">
        <f>IF($A219="","",INDEX('Master Inventory'!$G:$G,MATCH($A219,'Master Inventory'!$A:$A,0)))</f>
        <v/>
      </c>
      <c r="D219" s="7">
        <f>IF($A219="","",D218+C219)</f>
        <v/>
      </c>
      <c r="E219" s="9">
        <f>IF($A219="","",D219/SUM('Master Inventory'!$G:$G))</f>
        <v/>
      </c>
      <c r="F219" s="8">
        <f>IF($A219="","",IF(E219&lt;=0.8,"A",IF(E219&lt;=0.95,"B","C")))</f>
        <v/>
      </c>
    </row>
    <row r="220">
      <c r="A220" s="8">
        <f>IF(219&gt;COUNT('Master Inventory'!$G:$G),"",INDEX('Master Inventory'!$A:$A,MATCH(219,'Master Inventory'!$J:$J,0)))</f>
        <v/>
      </c>
      <c r="B220" s="8">
        <f>IF($A220="","",INDEX('Master Inventory'!$B:$B,MATCH($A220,'Master Inventory'!$A:$A,0)))</f>
        <v/>
      </c>
      <c r="C220" s="7">
        <f>IF($A220="","",INDEX('Master Inventory'!$G:$G,MATCH($A220,'Master Inventory'!$A:$A,0)))</f>
        <v/>
      </c>
      <c r="D220" s="7">
        <f>IF($A220="","",D219+C220)</f>
        <v/>
      </c>
      <c r="E220" s="9">
        <f>IF($A220="","",D220/SUM('Master Inventory'!$G:$G))</f>
        <v/>
      </c>
      <c r="F220" s="8">
        <f>IF($A220="","",IF(E220&lt;=0.8,"A",IF(E220&lt;=0.95,"B","C")))</f>
        <v/>
      </c>
    </row>
    <row r="221">
      <c r="A221" s="8">
        <f>IF(220&gt;COUNT('Master Inventory'!$G:$G),"",INDEX('Master Inventory'!$A:$A,MATCH(220,'Master Inventory'!$J:$J,0)))</f>
        <v/>
      </c>
      <c r="B221" s="8">
        <f>IF($A221="","",INDEX('Master Inventory'!$B:$B,MATCH($A221,'Master Inventory'!$A:$A,0)))</f>
        <v/>
      </c>
      <c r="C221" s="7">
        <f>IF($A221="","",INDEX('Master Inventory'!$G:$G,MATCH($A221,'Master Inventory'!$A:$A,0)))</f>
        <v/>
      </c>
      <c r="D221" s="7">
        <f>IF($A221="","",D220+C221)</f>
        <v/>
      </c>
      <c r="E221" s="9">
        <f>IF($A221="","",D221/SUM('Master Inventory'!$G:$G))</f>
        <v/>
      </c>
      <c r="F221" s="8">
        <f>IF($A221="","",IF(E221&lt;=0.8,"A",IF(E221&lt;=0.95,"B","C")))</f>
        <v/>
      </c>
    </row>
    <row r="222">
      <c r="A222" s="8">
        <f>IF(221&gt;COUNT('Master Inventory'!$G:$G),"",INDEX('Master Inventory'!$A:$A,MATCH(221,'Master Inventory'!$J:$J,0)))</f>
        <v/>
      </c>
      <c r="B222" s="8">
        <f>IF($A222="","",INDEX('Master Inventory'!$B:$B,MATCH($A222,'Master Inventory'!$A:$A,0)))</f>
        <v/>
      </c>
      <c r="C222" s="7">
        <f>IF($A222="","",INDEX('Master Inventory'!$G:$G,MATCH($A222,'Master Inventory'!$A:$A,0)))</f>
        <v/>
      </c>
      <c r="D222" s="7">
        <f>IF($A222="","",D221+C222)</f>
        <v/>
      </c>
      <c r="E222" s="9">
        <f>IF($A222="","",D222/SUM('Master Inventory'!$G:$G))</f>
        <v/>
      </c>
      <c r="F222" s="8">
        <f>IF($A222="","",IF(E222&lt;=0.8,"A",IF(E222&lt;=0.95,"B","C")))</f>
        <v/>
      </c>
    </row>
    <row r="223">
      <c r="A223" s="8">
        <f>IF(222&gt;COUNT('Master Inventory'!$G:$G),"",INDEX('Master Inventory'!$A:$A,MATCH(222,'Master Inventory'!$J:$J,0)))</f>
        <v/>
      </c>
      <c r="B223" s="8">
        <f>IF($A223="","",INDEX('Master Inventory'!$B:$B,MATCH($A223,'Master Inventory'!$A:$A,0)))</f>
        <v/>
      </c>
      <c r="C223" s="7">
        <f>IF($A223="","",INDEX('Master Inventory'!$G:$G,MATCH($A223,'Master Inventory'!$A:$A,0)))</f>
        <v/>
      </c>
      <c r="D223" s="7">
        <f>IF($A223="","",D222+C223)</f>
        <v/>
      </c>
      <c r="E223" s="9">
        <f>IF($A223="","",D223/SUM('Master Inventory'!$G:$G))</f>
        <v/>
      </c>
      <c r="F223" s="8">
        <f>IF($A223="","",IF(E223&lt;=0.8,"A",IF(E223&lt;=0.95,"B","C")))</f>
        <v/>
      </c>
    </row>
    <row r="224">
      <c r="A224" s="8">
        <f>IF(223&gt;COUNT('Master Inventory'!$G:$G),"",INDEX('Master Inventory'!$A:$A,MATCH(223,'Master Inventory'!$J:$J,0)))</f>
        <v/>
      </c>
      <c r="B224" s="8">
        <f>IF($A224="","",INDEX('Master Inventory'!$B:$B,MATCH($A224,'Master Inventory'!$A:$A,0)))</f>
        <v/>
      </c>
      <c r="C224" s="7">
        <f>IF($A224="","",INDEX('Master Inventory'!$G:$G,MATCH($A224,'Master Inventory'!$A:$A,0)))</f>
        <v/>
      </c>
      <c r="D224" s="7">
        <f>IF($A224="","",D223+C224)</f>
        <v/>
      </c>
      <c r="E224" s="9">
        <f>IF($A224="","",D224/SUM('Master Inventory'!$G:$G))</f>
        <v/>
      </c>
      <c r="F224" s="8">
        <f>IF($A224="","",IF(E224&lt;=0.8,"A",IF(E224&lt;=0.95,"B","C")))</f>
        <v/>
      </c>
    </row>
    <row r="225">
      <c r="A225" s="8">
        <f>IF(224&gt;COUNT('Master Inventory'!$G:$G),"",INDEX('Master Inventory'!$A:$A,MATCH(224,'Master Inventory'!$J:$J,0)))</f>
        <v/>
      </c>
      <c r="B225" s="8">
        <f>IF($A225="","",INDEX('Master Inventory'!$B:$B,MATCH($A225,'Master Inventory'!$A:$A,0)))</f>
        <v/>
      </c>
      <c r="C225" s="7">
        <f>IF($A225="","",INDEX('Master Inventory'!$G:$G,MATCH($A225,'Master Inventory'!$A:$A,0)))</f>
        <v/>
      </c>
      <c r="D225" s="7">
        <f>IF($A225="","",D224+C225)</f>
        <v/>
      </c>
      <c r="E225" s="9">
        <f>IF($A225="","",D225/SUM('Master Inventory'!$G:$G))</f>
        <v/>
      </c>
      <c r="F225" s="8">
        <f>IF($A225="","",IF(E225&lt;=0.8,"A",IF(E225&lt;=0.95,"B","C")))</f>
        <v/>
      </c>
    </row>
    <row r="226">
      <c r="A226" s="8">
        <f>IF(225&gt;COUNT('Master Inventory'!$G:$G),"",INDEX('Master Inventory'!$A:$A,MATCH(225,'Master Inventory'!$J:$J,0)))</f>
        <v/>
      </c>
      <c r="B226" s="8">
        <f>IF($A226="","",INDEX('Master Inventory'!$B:$B,MATCH($A226,'Master Inventory'!$A:$A,0)))</f>
        <v/>
      </c>
      <c r="C226" s="7">
        <f>IF($A226="","",INDEX('Master Inventory'!$G:$G,MATCH($A226,'Master Inventory'!$A:$A,0)))</f>
        <v/>
      </c>
      <c r="D226" s="7">
        <f>IF($A226="","",D225+C226)</f>
        <v/>
      </c>
      <c r="E226" s="9">
        <f>IF($A226="","",D226/SUM('Master Inventory'!$G:$G))</f>
        <v/>
      </c>
      <c r="F226" s="8">
        <f>IF($A226="","",IF(E226&lt;=0.8,"A",IF(E226&lt;=0.95,"B","C")))</f>
        <v/>
      </c>
    </row>
    <row r="227">
      <c r="A227" s="8">
        <f>IF(226&gt;COUNT('Master Inventory'!$G:$G),"",INDEX('Master Inventory'!$A:$A,MATCH(226,'Master Inventory'!$J:$J,0)))</f>
        <v/>
      </c>
      <c r="B227" s="8">
        <f>IF($A227="","",INDEX('Master Inventory'!$B:$B,MATCH($A227,'Master Inventory'!$A:$A,0)))</f>
        <v/>
      </c>
      <c r="C227" s="7">
        <f>IF($A227="","",INDEX('Master Inventory'!$G:$G,MATCH($A227,'Master Inventory'!$A:$A,0)))</f>
        <v/>
      </c>
      <c r="D227" s="7">
        <f>IF($A227="","",D226+C227)</f>
        <v/>
      </c>
      <c r="E227" s="9">
        <f>IF($A227="","",D227/SUM('Master Inventory'!$G:$G))</f>
        <v/>
      </c>
      <c r="F227" s="8">
        <f>IF($A227="","",IF(E227&lt;=0.8,"A",IF(E227&lt;=0.95,"B","C")))</f>
        <v/>
      </c>
    </row>
    <row r="228">
      <c r="A228" s="8">
        <f>IF(227&gt;COUNT('Master Inventory'!$G:$G),"",INDEX('Master Inventory'!$A:$A,MATCH(227,'Master Inventory'!$J:$J,0)))</f>
        <v/>
      </c>
      <c r="B228" s="8">
        <f>IF($A228="","",INDEX('Master Inventory'!$B:$B,MATCH($A228,'Master Inventory'!$A:$A,0)))</f>
        <v/>
      </c>
      <c r="C228" s="7">
        <f>IF($A228="","",INDEX('Master Inventory'!$G:$G,MATCH($A228,'Master Inventory'!$A:$A,0)))</f>
        <v/>
      </c>
      <c r="D228" s="7">
        <f>IF($A228="","",D227+C228)</f>
        <v/>
      </c>
      <c r="E228" s="9">
        <f>IF($A228="","",D228/SUM('Master Inventory'!$G:$G))</f>
        <v/>
      </c>
      <c r="F228" s="8">
        <f>IF($A228="","",IF(E228&lt;=0.8,"A",IF(E228&lt;=0.95,"B","C")))</f>
        <v/>
      </c>
    </row>
    <row r="229">
      <c r="A229" s="8">
        <f>IF(228&gt;COUNT('Master Inventory'!$G:$G),"",INDEX('Master Inventory'!$A:$A,MATCH(228,'Master Inventory'!$J:$J,0)))</f>
        <v/>
      </c>
      <c r="B229" s="8">
        <f>IF($A229="","",INDEX('Master Inventory'!$B:$B,MATCH($A229,'Master Inventory'!$A:$A,0)))</f>
        <v/>
      </c>
      <c r="C229" s="7">
        <f>IF($A229="","",INDEX('Master Inventory'!$G:$G,MATCH($A229,'Master Inventory'!$A:$A,0)))</f>
        <v/>
      </c>
      <c r="D229" s="7">
        <f>IF($A229="","",D228+C229)</f>
        <v/>
      </c>
      <c r="E229" s="9">
        <f>IF($A229="","",D229/SUM('Master Inventory'!$G:$G))</f>
        <v/>
      </c>
      <c r="F229" s="8">
        <f>IF($A229="","",IF(E229&lt;=0.8,"A",IF(E229&lt;=0.95,"B","C")))</f>
        <v/>
      </c>
    </row>
    <row r="230">
      <c r="A230" s="8">
        <f>IF(229&gt;COUNT('Master Inventory'!$G:$G),"",INDEX('Master Inventory'!$A:$A,MATCH(229,'Master Inventory'!$J:$J,0)))</f>
        <v/>
      </c>
      <c r="B230" s="8">
        <f>IF($A230="","",INDEX('Master Inventory'!$B:$B,MATCH($A230,'Master Inventory'!$A:$A,0)))</f>
        <v/>
      </c>
      <c r="C230" s="7">
        <f>IF($A230="","",INDEX('Master Inventory'!$G:$G,MATCH($A230,'Master Inventory'!$A:$A,0)))</f>
        <v/>
      </c>
      <c r="D230" s="7">
        <f>IF($A230="","",D229+C230)</f>
        <v/>
      </c>
      <c r="E230" s="9">
        <f>IF($A230="","",D230/SUM('Master Inventory'!$G:$G))</f>
        <v/>
      </c>
      <c r="F230" s="8">
        <f>IF($A230="","",IF(E230&lt;=0.8,"A",IF(E230&lt;=0.95,"B","C")))</f>
        <v/>
      </c>
    </row>
    <row r="231">
      <c r="A231" s="8">
        <f>IF(230&gt;COUNT('Master Inventory'!$G:$G),"",INDEX('Master Inventory'!$A:$A,MATCH(230,'Master Inventory'!$J:$J,0)))</f>
        <v/>
      </c>
      <c r="B231" s="8">
        <f>IF($A231="","",INDEX('Master Inventory'!$B:$B,MATCH($A231,'Master Inventory'!$A:$A,0)))</f>
        <v/>
      </c>
      <c r="C231" s="7">
        <f>IF($A231="","",INDEX('Master Inventory'!$G:$G,MATCH($A231,'Master Inventory'!$A:$A,0)))</f>
        <v/>
      </c>
      <c r="D231" s="7">
        <f>IF($A231="","",D230+C231)</f>
        <v/>
      </c>
      <c r="E231" s="9">
        <f>IF($A231="","",D231/SUM('Master Inventory'!$G:$G))</f>
        <v/>
      </c>
      <c r="F231" s="8">
        <f>IF($A231="","",IF(E231&lt;=0.8,"A",IF(E231&lt;=0.95,"B","C")))</f>
        <v/>
      </c>
    </row>
    <row r="232">
      <c r="A232" s="8">
        <f>IF(231&gt;COUNT('Master Inventory'!$G:$G),"",INDEX('Master Inventory'!$A:$A,MATCH(231,'Master Inventory'!$J:$J,0)))</f>
        <v/>
      </c>
      <c r="B232" s="8">
        <f>IF($A232="","",INDEX('Master Inventory'!$B:$B,MATCH($A232,'Master Inventory'!$A:$A,0)))</f>
        <v/>
      </c>
      <c r="C232" s="7">
        <f>IF($A232="","",INDEX('Master Inventory'!$G:$G,MATCH($A232,'Master Inventory'!$A:$A,0)))</f>
        <v/>
      </c>
      <c r="D232" s="7">
        <f>IF($A232="","",D231+C232)</f>
        <v/>
      </c>
      <c r="E232" s="9">
        <f>IF($A232="","",D232/SUM('Master Inventory'!$G:$G))</f>
        <v/>
      </c>
      <c r="F232" s="8">
        <f>IF($A232="","",IF(E232&lt;=0.8,"A",IF(E232&lt;=0.95,"B","C")))</f>
        <v/>
      </c>
    </row>
    <row r="233">
      <c r="A233" s="8">
        <f>IF(232&gt;COUNT('Master Inventory'!$G:$G),"",INDEX('Master Inventory'!$A:$A,MATCH(232,'Master Inventory'!$J:$J,0)))</f>
        <v/>
      </c>
      <c r="B233" s="8">
        <f>IF($A233="","",INDEX('Master Inventory'!$B:$B,MATCH($A233,'Master Inventory'!$A:$A,0)))</f>
        <v/>
      </c>
      <c r="C233" s="7">
        <f>IF($A233="","",INDEX('Master Inventory'!$G:$G,MATCH($A233,'Master Inventory'!$A:$A,0)))</f>
        <v/>
      </c>
      <c r="D233" s="7">
        <f>IF($A233="","",D232+C233)</f>
        <v/>
      </c>
      <c r="E233" s="9">
        <f>IF($A233="","",D233/SUM('Master Inventory'!$G:$G))</f>
        <v/>
      </c>
      <c r="F233" s="8">
        <f>IF($A233="","",IF(E233&lt;=0.8,"A",IF(E233&lt;=0.95,"B","C")))</f>
        <v/>
      </c>
    </row>
    <row r="234">
      <c r="A234" s="8">
        <f>IF(233&gt;COUNT('Master Inventory'!$G:$G),"",INDEX('Master Inventory'!$A:$A,MATCH(233,'Master Inventory'!$J:$J,0)))</f>
        <v/>
      </c>
      <c r="B234" s="8">
        <f>IF($A234="","",INDEX('Master Inventory'!$B:$B,MATCH($A234,'Master Inventory'!$A:$A,0)))</f>
        <v/>
      </c>
      <c r="C234" s="7">
        <f>IF($A234="","",INDEX('Master Inventory'!$G:$G,MATCH($A234,'Master Inventory'!$A:$A,0)))</f>
        <v/>
      </c>
      <c r="D234" s="7">
        <f>IF($A234="","",D233+C234)</f>
        <v/>
      </c>
      <c r="E234" s="9">
        <f>IF($A234="","",D234/SUM('Master Inventory'!$G:$G))</f>
        <v/>
      </c>
      <c r="F234" s="8">
        <f>IF($A234="","",IF(E234&lt;=0.8,"A",IF(E234&lt;=0.95,"B","C")))</f>
        <v/>
      </c>
    </row>
    <row r="235">
      <c r="A235" s="8">
        <f>IF(234&gt;COUNT('Master Inventory'!$G:$G),"",INDEX('Master Inventory'!$A:$A,MATCH(234,'Master Inventory'!$J:$J,0)))</f>
        <v/>
      </c>
      <c r="B235" s="8">
        <f>IF($A235="","",INDEX('Master Inventory'!$B:$B,MATCH($A235,'Master Inventory'!$A:$A,0)))</f>
        <v/>
      </c>
      <c r="C235" s="7">
        <f>IF($A235="","",INDEX('Master Inventory'!$G:$G,MATCH($A235,'Master Inventory'!$A:$A,0)))</f>
        <v/>
      </c>
      <c r="D235" s="7">
        <f>IF($A235="","",D234+C235)</f>
        <v/>
      </c>
      <c r="E235" s="9">
        <f>IF($A235="","",D235/SUM('Master Inventory'!$G:$G))</f>
        <v/>
      </c>
      <c r="F235" s="8">
        <f>IF($A235="","",IF(E235&lt;=0.8,"A",IF(E235&lt;=0.95,"B","C")))</f>
        <v/>
      </c>
    </row>
    <row r="236">
      <c r="A236" s="8">
        <f>IF(235&gt;COUNT('Master Inventory'!$G:$G),"",INDEX('Master Inventory'!$A:$A,MATCH(235,'Master Inventory'!$J:$J,0)))</f>
        <v/>
      </c>
      <c r="B236" s="8">
        <f>IF($A236="","",INDEX('Master Inventory'!$B:$B,MATCH($A236,'Master Inventory'!$A:$A,0)))</f>
        <v/>
      </c>
      <c r="C236" s="7">
        <f>IF($A236="","",INDEX('Master Inventory'!$G:$G,MATCH($A236,'Master Inventory'!$A:$A,0)))</f>
        <v/>
      </c>
      <c r="D236" s="7">
        <f>IF($A236="","",D235+C236)</f>
        <v/>
      </c>
      <c r="E236" s="9">
        <f>IF($A236="","",D236/SUM('Master Inventory'!$G:$G))</f>
        <v/>
      </c>
      <c r="F236" s="8">
        <f>IF($A236="","",IF(E236&lt;=0.8,"A",IF(E236&lt;=0.95,"B","C")))</f>
        <v/>
      </c>
    </row>
    <row r="237">
      <c r="A237" s="8">
        <f>IF(236&gt;COUNT('Master Inventory'!$G:$G),"",INDEX('Master Inventory'!$A:$A,MATCH(236,'Master Inventory'!$J:$J,0)))</f>
        <v/>
      </c>
      <c r="B237" s="8">
        <f>IF($A237="","",INDEX('Master Inventory'!$B:$B,MATCH($A237,'Master Inventory'!$A:$A,0)))</f>
        <v/>
      </c>
      <c r="C237" s="7">
        <f>IF($A237="","",INDEX('Master Inventory'!$G:$G,MATCH($A237,'Master Inventory'!$A:$A,0)))</f>
        <v/>
      </c>
      <c r="D237" s="7">
        <f>IF($A237="","",D236+C237)</f>
        <v/>
      </c>
      <c r="E237" s="9">
        <f>IF($A237="","",D237/SUM('Master Inventory'!$G:$G))</f>
        <v/>
      </c>
      <c r="F237" s="8">
        <f>IF($A237="","",IF(E237&lt;=0.8,"A",IF(E237&lt;=0.95,"B","C")))</f>
        <v/>
      </c>
    </row>
    <row r="238">
      <c r="A238" s="8">
        <f>IF(237&gt;COUNT('Master Inventory'!$G:$G),"",INDEX('Master Inventory'!$A:$A,MATCH(237,'Master Inventory'!$J:$J,0)))</f>
        <v/>
      </c>
      <c r="B238" s="8">
        <f>IF($A238="","",INDEX('Master Inventory'!$B:$B,MATCH($A238,'Master Inventory'!$A:$A,0)))</f>
        <v/>
      </c>
      <c r="C238" s="7">
        <f>IF($A238="","",INDEX('Master Inventory'!$G:$G,MATCH($A238,'Master Inventory'!$A:$A,0)))</f>
        <v/>
      </c>
      <c r="D238" s="7">
        <f>IF($A238="","",D237+C238)</f>
        <v/>
      </c>
      <c r="E238" s="9">
        <f>IF($A238="","",D238/SUM('Master Inventory'!$G:$G))</f>
        <v/>
      </c>
      <c r="F238" s="8">
        <f>IF($A238="","",IF(E238&lt;=0.8,"A",IF(E238&lt;=0.95,"B","C")))</f>
        <v/>
      </c>
    </row>
    <row r="239">
      <c r="A239" s="8">
        <f>IF(238&gt;COUNT('Master Inventory'!$G:$G),"",INDEX('Master Inventory'!$A:$A,MATCH(238,'Master Inventory'!$J:$J,0)))</f>
        <v/>
      </c>
      <c r="B239" s="8">
        <f>IF($A239="","",INDEX('Master Inventory'!$B:$B,MATCH($A239,'Master Inventory'!$A:$A,0)))</f>
        <v/>
      </c>
      <c r="C239" s="7">
        <f>IF($A239="","",INDEX('Master Inventory'!$G:$G,MATCH($A239,'Master Inventory'!$A:$A,0)))</f>
        <v/>
      </c>
      <c r="D239" s="7">
        <f>IF($A239="","",D238+C239)</f>
        <v/>
      </c>
      <c r="E239" s="9">
        <f>IF($A239="","",D239/SUM('Master Inventory'!$G:$G))</f>
        <v/>
      </c>
      <c r="F239" s="8">
        <f>IF($A239="","",IF(E239&lt;=0.8,"A",IF(E239&lt;=0.95,"B","C")))</f>
        <v/>
      </c>
    </row>
    <row r="240">
      <c r="A240" s="8">
        <f>IF(239&gt;COUNT('Master Inventory'!$G:$G),"",INDEX('Master Inventory'!$A:$A,MATCH(239,'Master Inventory'!$J:$J,0)))</f>
        <v/>
      </c>
      <c r="B240" s="8">
        <f>IF($A240="","",INDEX('Master Inventory'!$B:$B,MATCH($A240,'Master Inventory'!$A:$A,0)))</f>
        <v/>
      </c>
      <c r="C240" s="7">
        <f>IF($A240="","",INDEX('Master Inventory'!$G:$G,MATCH($A240,'Master Inventory'!$A:$A,0)))</f>
        <v/>
      </c>
      <c r="D240" s="7">
        <f>IF($A240="","",D239+C240)</f>
        <v/>
      </c>
      <c r="E240" s="9">
        <f>IF($A240="","",D240/SUM('Master Inventory'!$G:$G))</f>
        <v/>
      </c>
      <c r="F240" s="8">
        <f>IF($A240="","",IF(E240&lt;=0.8,"A",IF(E240&lt;=0.95,"B","C")))</f>
        <v/>
      </c>
    </row>
    <row r="241">
      <c r="A241" s="8">
        <f>IF(240&gt;COUNT('Master Inventory'!$G:$G),"",INDEX('Master Inventory'!$A:$A,MATCH(240,'Master Inventory'!$J:$J,0)))</f>
        <v/>
      </c>
      <c r="B241" s="8">
        <f>IF($A241="","",INDEX('Master Inventory'!$B:$B,MATCH($A241,'Master Inventory'!$A:$A,0)))</f>
        <v/>
      </c>
      <c r="C241" s="7">
        <f>IF($A241="","",INDEX('Master Inventory'!$G:$G,MATCH($A241,'Master Inventory'!$A:$A,0)))</f>
        <v/>
      </c>
      <c r="D241" s="7">
        <f>IF($A241="","",D240+C241)</f>
        <v/>
      </c>
      <c r="E241" s="9">
        <f>IF($A241="","",D241/SUM('Master Inventory'!$G:$G))</f>
        <v/>
      </c>
      <c r="F241" s="8">
        <f>IF($A241="","",IF(E241&lt;=0.8,"A",IF(E241&lt;=0.95,"B","C")))</f>
        <v/>
      </c>
    </row>
    <row r="242">
      <c r="A242" s="8">
        <f>IF(241&gt;COUNT('Master Inventory'!$G:$G),"",INDEX('Master Inventory'!$A:$A,MATCH(241,'Master Inventory'!$J:$J,0)))</f>
        <v/>
      </c>
      <c r="B242" s="8">
        <f>IF($A242="","",INDEX('Master Inventory'!$B:$B,MATCH($A242,'Master Inventory'!$A:$A,0)))</f>
        <v/>
      </c>
      <c r="C242" s="7">
        <f>IF($A242="","",INDEX('Master Inventory'!$G:$G,MATCH($A242,'Master Inventory'!$A:$A,0)))</f>
        <v/>
      </c>
      <c r="D242" s="7">
        <f>IF($A242="","",D241+C242)</f>
        <v/>
      </c>
      <c r="E242" s="9">
        <f>IF($A242="","",D242/SUM('Master Inventory'!$G:$G))</f>
        <v/>
      </c>
      <c r="F242" s="8">
        <f>IF($A242="","",IF(E242&lt;=0.8,"A",IF(E242&lt;=0.95,"B","C")))</f>
        <v/>
      </c>
    </row>
    <row r="243">
      <c r="A243" s="8">
        <f>IF(242&gt;COUNT('Master Inventory'!$G:$G),"",INDEX('Master Inventory'!$A:$A,MATCH(242,'Master Inventory'!$J:$J,0)))</f>
        <v/>
      </c>
      <c r="B243" s="8">
        <f>IF($A243="","",INDEX('Master Inventory'!$B:$B,MATCH($A243,'Master Inventory'!$A:$A,0)))</f>
        <v/>
      </c>
      <c r="C243" s="7">
        <f>IF($A243="","",INDEX('Master Inventory'!$G:$G,MATCH($A243,'Master Inventory'!$A:$A,0)))</f>
        <v/>
      </c>
      <c r="D243" s="7">
        <f>IF($A243="","",D242+C243)</f>
        <v/>
      </c>
      <c r="E243" s="9">
        <f>IF($A243="","",D243/SUM('Master Inventory'!$G:$G))</f>
        <v/>
      </c>
      <c r="F243" s="8">
        <f>IF($A243="","",IF(E243&lt;=0.8,"A",IF(E243&lt;=0.95,"B","C")))</f>
        <v/>
      </c>
    </row>
    <row r="244">
      <c r="A244" s="8">
        <f>IF(243&gt;COUNT('Master Inventory'!$G:$G),"",INDEX('Master Inventory'!$A:$A,MATCH(243,'Master Inventory'!$J:$J,0)))</f>
        <v/>
      </c>
      <c r="B244" s="8">
        <f>IF($A244="","",INDEX('Master Inventory'!$B:$B,MATCH($A244,'Master Inventory'!$A:$A,0)))</f>
        <v/>
      </c>
      <c r="C244" s="7">
        <f>IF($A244="","",INDEX('Master Inventory'!$G:$G,MATCH($A244,'Master Inventory'!$A:$A,0)))</f>
        <v/>
      </c>
      <c r="D244" s="7">
        <f>IF($A244="","",D243+C244)</f>
        <v/>
      </c>
      <c r="E244" s="9">
        <f>IF($A244="","",D244/SUM('Master Inventory'!$G:$G))</f>
        <v/>
      </c>
      <c r="F244" s="8">
        <f>IF($A244="","",IF(E244&lt;=0.8,"A",IF(E244&lt;=0.95,"B","C")))</f>
        <v/>
      </c>
    </row>
    <row r="245">
      <c r="A245" s="8">
        <f>IF(244&gt;COUNT('Master Inventory'!$G:$G),"",INDEX('Master Inventory'!$A:$A,MATCH(244,'Master Inventory'!$J:$J,0)))</f>
        <v/>
      </c>
      <c r="B245" s="8">
        <f>IF($A245="","",INDEX('Master Inventory'!$B:$B,MATCH($A245,'Master Inventory'!$A:$A,0)))</f>
        <v/>
      </c>
      <c r="C245" s="7">
        <f>IF($A245="","",INDEX('Master Inventory'!$G:$G,MATCH($A245,'Master Inventory'!$A:$A,0)))</f>
        <v/>
      </c>
      <c r="D245" s="7">
        <f>IF($A245="","",D244+C245)</f>
        <v/>
      </c>
      <c r="E245" s="9">
        <f>IF($A245="","",D245/SUM('Master Inventory'!$G:$G))</f>
        <v/>
      </c>
      <c r="F245" s="8">
        <f>IF($A245="","",IF(E245&lt;=0.8,"A",IF(E245&lt;=0.95,"B","C")))</f>
        <v/>
      </c>
    </row>
    <row r="246">
      <c r="A246" s="8">
        <f>IF(245&gt;COUNT('Master Inventory'!$G:$G),"",INDEX('Master Inventory'!$A:$A,MATCH(245,'Master Inventory'!$J:$J,0)))</f>
        <v/>
      </c>
      <c r="B246" s="8">
        <f>IF($A246="","",INDEX('Master Inventory'!$B:$B,MATCH($A246,'Master Inventory'!$A:$A,0)))</f>
        <v/>
      </c>
      <c r="C246" s="7">
        <f>IF($A246="","",INDEX('Master Inventory'!$G:$G,MATCH($A246,'Master Inventory'!$A:$A,0)))</f>
        <v/>
      </c>
      <c r="D246" s="7">
        <f>IF($A246="","",D245+C246)</f>
        <v/>
      </c>
      <c r="E246" s="9">
        <f>IF($A246="","",D246/SUM('Master Inventory'!$G:$G))</f>
        <v/>
      </c>
      <c r="F246" s="8">
        <f>IF($A246="","",IF(E246&lt;=0.8,"A",IF(E246&lt;=0.95,"B","C")))</f>
        <v/>
      </c>
    </row>
    <row r="247">
      <c r="A247" s="8">
        <f>IF(246&gt;COUNT('Master Inventory'!$G:$G),"",INDEX('Master Inventory'!$A:$A,MATCH(246,'Master Inventory'!$J:$J,0)))</f>
        <v/>
      </c>
      <c r="B247" s="8">
        <f>IF($A247="","",INDEX('Master Inventory'!$B:$B,MATCH($A247,'Master Inventory'!$A:$A,0)))</f>
        <v/>
      </c>
      <c r="C247" s="7">
        <f>IF($A247="","",INDEX('Master Inventory'!$G:$G,MATCH($A247,'Master Inventory'!$A:$A,0)))</f>
        <v/>
      </c>
      <c r="D247" s="7">
        <f>IF($A247="","",D246+C247)</f>
        <v/>
      </c>
      <c r="E247" s="9">
        <f>IF($A247="","",D247/SUM('Master Inventory'!$G:$G))</f>
        <v/>
      </c>
      <c r="F247" s="8">
        <f>IF($A247="","",IF(E247&lt;=0.8,"A",IF(E247&lt;=0.95,"B","C")))</f>
        <v/>
      </c>
    </row>
    <row r="248">
      <c r="A248" s="8">
        <f>IF(247&gt;COUNT('Master Inventory'!$G:$G),"",INDEX('Master Inventory'!$A:$A,MATCH(247,'Master Inventory'!$J:$J,0)))</f>
        <v/>
      </c>
      <c r="B248" s="8">
        <f>IF($A248="","",INDEX('Master Inventory'!$B:$B,MATCH($A248,'Master Inventory'!$A:$A,0)))</f>
        <v/>
      </c>
      <c r="C248" s="7">
        <f>IF($A248="","",INDEX('Master Inventory'!$G:$G,MATCH($A248,'Master Inventory'!$A:$A,0)))</f>
        <v/>
      </c>
      <c r="D248" s="7">
        <f>IF($A248="","",D247+C248)</f>
        <v/>
      </c>
      <c r="E248" s="9">
        <f>IF($A248="","",D248/SUM('Master Inventory'!$G:$G))</f>
        <v/>
      </c>
      <c r="F248" s="8">
        <f>IF($A248="","",IF(E248&lt;=0.8,"A",IF(E248&lt;=0.95,"B","C")))</f>
        <v/>
      </c>
    </row>
    <row r="249">
      <c r="A249" s="8">
        <f>IF(248&gt;COUNT('Master Inventory'!$G:$G),"",INDEX('Master Inventory'!$A:$A,MATCH(248,'Master Inventory'!$J:$J,0)))</f>
        <v/>
      </c>
      <c r="B249" s="8">
        <f>IF($A249="","",INDEX('Master Inventory'!$B:$B,MATCH($A249,'Master Inventory'!$A:$A,0)))</f>
        <v/>
      </c>
      <c r="C249" s="7">
        <f>IF($A249="","",INDEX('Master Inventory'!$G:$G,MATCH($A249,'Master Inventory'!$A:$A,0)))</f>
        <v/>
      </c>
      <c r="D249" s="7">
        <f>IF($A249="","",D248+C249)</f>
        <v/>
      </c>
      <c r="E249" s="9">
        <f>IF($A249="","",D249/SUM('Master Inventory'!$G:$G))</f>
        <v/>
      </c>
      <c r="F249" s="8">
        <f>IF($A249="","",IF(E249&lt;=0.8,"A",IF(E249&lt;=0.95,"B","C")))</f>
        <v/>
      </c>
    </row>
    <row r="250">
      <c r="A250" s="8">
        <f>IF(249&gt;COUNT('Master Inventory'!$G:$G),"",INDEX('Master Inventory'!$A:$A,MATCH(249,'Master Inventory'!$J:$J,0)))</f>
        <v/>
      </c>
      <c r="B250" s="8">
        <f>IF($A250="","",INDEX('Master Inventory'!$B:$B,MATCH($A250,'Master Inventory'!$A:$A,0)))</f>
        <v/>
      </c>
      <c r="C250" s="7">
        <f>IF($A250="","",INDEX('Master Inventory'!$G:$G,MATCH($A250,'Master Inventory'!$A:$A,0)))</f>
        <v/>
      </c>
      <c r="D250" s="7">
        <f>IF($A250="","",D249+C250)</f>
        <v/>
      </c>
      <c r="E250" s="9">
        <f>IF($A250="","",D250/SUM('Master Inventory'!$G:$G))</f>
        <v/>
      </c>
      <c r="F250" s="8">
        <f>IF($A250="","",IF(E250&lt;=0.8,"A",IF(E250&lt;=0.95,"B","C")))</f>
        <v/>
      </c>
    </row>
    <row r="251">
      <c r="A251" s="8">
        <f>IF(250&gt;COUNT('Master Inventory'!$G:$G),"",INDEX('Master Inventory'!$A:$A,MATCH(250,'Master Inventory'!$J:$J,0)))</f>
        <v/>
      </c>
      <c r="B251" s="8">
        <f>IF($A251="","",INDEX('Master Inventory'!$B:$B,MATCH($A251,'Master Inventory'!$A:$A,0)))</f>
        <v/>
      </c>
      <c r="C251" s="7">
        <f>IF($A251="","",INDEX('Master Inventory'!$G:$G,MATCH($A251,'Master Inventory'!$A:$A,0)))</f>
        <v/>
      </c>
      <c r="D251" s="7">
        <f>IF($A251="","",D250+C251)</f>
        <v/>
      </c>
      <c r="E251" s="9">
        <f>IF($A251="","",D251/SUM('Master Inventory'!$G:$G))</f>
        <v/>
      </c>
      <c r="F251" s="8">
        <f>IF($A251="","",IF(E251&lt;=0.8,"A",IF(E251&lt;=0.95,"B","C")))</f>
        <v/>
      </c>
    </row>
    <row r="252">
      <c r="A252" s="8">
        <f>IF(251&gt;COUNT('Master Inventory'!$G:$G),"",INDEX('Master Inventory'!$A:$A,MATCH(251,'Master Inventory'!$J:$J,0)))</f>
        <v/>
      </c>
      <c r="B252" s="8">
        <f>IF($A252="","",INDEX('Master Inventory'!$B:$B,MATCH($A252,'Master Inventory'!$A:$A,0)))</f>
        <v/>
      </c>
      <c r="C252" s="7">
        <f>IF($A252="","",INDEX('Master Inventory'!$G:$G,MATCH($A252,'Master Inventory'!$A:$A,0)))</f>
        <v/>
      </c>
      <c r="D252" s="7">
        <f>IF($A252="","",D251+C252)</f>
        <v/>
      </c>
      <c r="E252" s="9">
        <f>IF($A252="","",D252/SUM('Master Inventory'!$G:$G))</f>
        <v/>
      </c>
      <c r="F252" s="8">
        <f>IF($A252="","",IF(E252&lt;=0.8,"A",IF(E252&lt;=0.95,"B","C")))</f>
        <v/>
      </c>
    </row>
    <row r="253">
      <c r="A253" s="8">
        <f>IF(252&gt;COUNT('Master Inventory'!$G:$G),"",INDEX('Master Inventory'!$A:$A,MATCH(252,'Master Inventory'!$J:$J,0)))</f>
        <v/>
      </c>
      <c r="B253" s="8">
        <f>IF($A253="","",INDEX('Master Inventory'!$B:$B,MATCH($A253,'Master Inventory'!$A:$A,0)))</f>
        <v/>
      </c>
      <c r="C253" s="7">
        <f>IF($A253="","",INDEX('Master Inventory'!$G:$G,MATCH($A253,'Master Inventory'!$A:$A,0)))</f>
        <v/>
      </c>
      <c r="D253" s="7">
        <f>IF($A253="","",D252+C253)</f>
        <v/>
      </c>
      <c r="E253" s="9">
        <f>IF($A253="","",D253/SUM('Master Inventory'!$G:$G))</f>
        <v/>
      </c>
      <c r="F253" s="8">
        <f>IF($A253="","",IF(E253&lt;=0.8,"A",IF(E253&lt;=0.95,"B","C")))</f>
        <v/>
      </c>
    </row>
    <row r="254">
      <c r="A254" s="8">
        <f>IF(253&gt;COUNT('Master Inventory'!$G:$G),"",INDEX('Master Inventory'!$A:$A,MATCH(253,'Master Inventory'!$J:$J,0)))</f>
        <v/>
      </c>
      <c r="B254" s="8">
        <f>IF($A254="","",INDEX('Master Inventory'!$B:$B,MATCH($A254,'Master Inventory'!$A:$A,0)))</f>
        <v/>
      </c>
      <c r="C254" s="7">
        <f>IF($A254="","",INDEX('Master Inventory'!$G:$G,MATCH($A254,'Master Inventory'!$A:$A,0)))</f>
        <v/>
      </c>
      <c r="D254" s="7">
        <f>IF($A254="","",D253+C254)</f>
        <v/>
      </c>
      <c r="E254" s="9">
        <f>IF($A254="","",D254/SUM('Master Inventory'!$G:$G))</f>
        <v/>
      </c>
      <c r="F254" s="8">
        <f>IF($A254="","",IF(E254&lt;=0.8,"A",IF(E254&lt;=0.95,"B","C")))</f>
        <v/>
      </c>
    </row>
    <row r="255">
      <c r="A255" s="8">
        <f>IF(254&gt;COUNT('Master Inventory'!$G:$G),"",INDEX('Master Inventory'!$A:$A,MATCH(254,'Master Inventory'!$J:$J,0)))</f>
        <v/>
      </c>
      <c r="B255" s="8">
        <f>IF($A255="","",INDEX('Master Inventory'!$B:$B,MATCH($A255,'Master Inventory'!$A:$A,0)))</f>
        <v/>
      </c>
      <c r="C255" s="7">
        <f>IF($A255="","",INDEX('Master Inventory'!$G:$G,MATCH($A255,'Master Inventory'!$A:$A,0)))</f>
        <v/>
      </c>
      <c r="D255" s="7">
        <f>IF($A255="","",D254+C255)</f>
        <v/>
      </c>
      <c r="E255" s="9">
        <f>IF($A255="","",D255/SUM('Master Inventory'!$G:$G))</f>
        <v/>
      </c>
      <c r="F255" s="8">
        <f>IF($A255="","",IF(E255&lt;=0.8,"A",IF(E255&lt;=0.95,"B","C")))</f>
        <v/>
      </c>
    </row>
    <row r="256">
      <c r="A256" s="8">
        <f>IF(255&gt;COUNT('Master Inventory'!$G:$G),"",INDEX('Master Inventory'!$A:$A,MATCH(255,'Master Inventory'!$J:$J,0)))</f>
        <v/>
      </c>
      <c r="B256" s="8">
        <f>IF($A256="","",INDEX('Master Inventory'!$B:$B,MATCH($A256,'Master Inventory'!$A:$A,0)))</f>
        <v/>
      </c>
      <c r="C256" s="7">
        <f>IF($A256="","",INDEX('Master Inventory'!$G:$G,MATCH($A256,'Master Inventory'!$A:$A,0)))</f>
        <v/>
      </c>
      <c r="D256" s="7">
        <f>IF($A256="","",D255+C256)</f>
        <v/>
      </c>
      <c r="E256" s="9">
        <f>IF($A256="","",D256/SUM('Master Inventory'!$G:$G))</f>
        <v/>
      </c>
      <c r="F256" s="8">
        <f>IF($A256="","",IF(E256&lt;=0.8,"A",IF(E256&lt;=0.95,"B","C")))</f>
        <v/>
      </c>
    </row>
    <row r="257">
      <c r="A257" s="8">
        <f>IF(256&gt;COUNT('Master Inventory'!$G:$G),"",INDEX('Master Inventory'!$A:$A,MATCH(256,'Master Inventory'!$J:$J,0)))</f>
        <v/>
      </c>
      <c r="B257" s="8">
        <f>IF($A257="","",INDEX('Master Inventory'!$B:$B,MATCH($A257,'Master Inventory'!$A:$A,0)))</f>
        <v/>
      </c>
      <c r="C257" s="7">
        <f>IF($A257="","",INDEX('Master Inventory'!$G:$G,MATCH($A257,'Master Inventory'!$A:$A,0)))</f>
        <v/>
      </c>
      <c r="D257" s="7">
        <f>IF($A257="","",D256+C257)</f>
        <v/>
      </c>
      <c r="E257" s="9">
        <f>IF($A257="","",D257/SUM('Master Inventory'!$G:$G))</f>
        <v/>
      </c>
      <c r="F257" s="8">
        <f>IF($A257="","",IF(E257&lt;=0.8,"A",IF(E257&lt;=0.95,"B","C")))</f>
        <v/>
      </c>
    </row>
    <row r="258">
      <c r="A258" s="8">
        <f>IF(257&gt;COUNT('Master Inventory'!$G:$G),"",INDEX('Master Inventory'!$A:$A,MATCH(257,'Master Inventory'!$J:$J,0)))</f>
        <v/>
      </c>
      <c r="B258" s="8">
        <f>IF($A258="","",INDEX('Master Inventory'!$B:$B,MATCH($A258,'Master Inventory'!$A:$A,0)))</f>
        <v/>
      </c>
      <c r="C258" s="7">
        <f>IF($A258="","",INDEX('Master Inventory'!$G:$G,MATCH($A258,'Master Inventory'!$A:$A,0)))</f>
        <v/>
      </c>
      <c r="D258" s="7">
        <f>IF($A258="","",D257+C258)</f>
        <v/>
      </c>
      <c r="E258" s="9">
        <f>IF($A258="","",D258/SUM('Master Inventory'!$G:$G))</f>
        <v/>
      </c>
      <c r="F258" s="8">
        <f>IF($A258="","",IF(E258&lt;=0.8,"A",IF(E258&lt;=0.95,"B","C")))</f>
        <v/>
      </c>
    </row>
    <row r="259">
      <c r="A259" s="8">
        <f>IF(258&gt;COUNT('Master Inventory'!$G:$G),"",INDEX('Master Inventory'!$A:$A,MATCH(258,'Master Inventory'!$J:$J,0)))</f>
        <v/>
      </c>
      <c r="B259" s="8">
        <f>IF($A259="","",INDEX('Master Inventory'!$B:$B,MATCH($A259,'Master Inventory'!$A:$A,0)))</f>
        <v/>
      </c>
      <c r="C259" s="7">
        <f>IF($A259="","",INDEX('Master Inventory'!$G:$G,MATCH($A259,'Master Inventory'!$A:$A,0)))</f>
        <v/>
      </c>
      <c r="D259" s="7">
        <f>IF($A259="","",D258+C259)</f>
        <v/>
      </c>
      <c r="E259" s="9">
        <f>IF($A259="","",D259/SUM('Master Inventory'!$G:$G))</f>
        <v/>
      </c>
      <c r="F259" s="8">
        <f>IF($A259="","",IF(E259&lt;=0.8,"A",IF(E259&lt;=0.95,"B","C")))</f>
        <v/>
      </c>
    </row>
    <row r="260">
      <c r="A260" s="8">
        <f>IF(259&gt;COUNT('Master Inventory'!$G:$G),"",INDEX('Master Inventory'!$A:$A,MATCH(259,'Master Inventory'!$J:$J,0)))</f>
        <v/>
      </c>
      <c r="B260" s="8">
        <f>IF($A260="","",INDEX('Master Inventory'!$B:$B,MATCH($A260,'Master Inventory'!$A:$A,0)))</f>
        <v/>
      </c>
      <c r="C260" s="7">
        <f>IF($A260="","",INDEX('Master Inventory'!$G:$G,MATCH($A260,'Master Inventory'!$A:$A,0)))</f>
        <v/>
      </c>
      <c r="D260" s="7">
        <f>IF($A260="","",D259+C260)</f>
        <v/>
      </c>
      <c r="E260" s="9">
        <f>IF($A260="","",D260/SUM('Master Inventory'!$G:$G))</f>
        <v/>
      </c>
      <c r="F260" s="8">
        <f>IF($A260="","",IF(E260&lt;=0.8,"A",IF(E260&lt;=0.95,"B","C")))</f>
        <v/>
      </c>
    </row>
    <row r="261">
      <c r="A261" s="8">
        <f>IF(260&gt;COUNT('Master Inventory'!$G:$G),"",INDEX('Master Inventory'!$A:$A,MATCH(260,'Master Inventory'!$J:$J,0)))</f>
        <v/>
      </c>
      <c r="B261" s="8">
        <f>IF($A261="","",INDEX('Master Inventory'!$B:$B,MATCH($A261,'Master Inventory'!$A:$A,0)))</f>
        <v/>
      </c>
      <c r="C261" s="7">
        <f>IF($A261="","",INDEX('Master Inventory'!$G:$G,MATCH($A261,'Master Inventory'!$A:$A,0)))</f>
        <v/>
      </c>
      <c r="D261" s="7">
        <f>IF($A261="","",D260+C261)</f>
        <v/>
      </c>
      <c r="E261" s="9">
        <f>IF($A261="","",D261/SUM('Master Inventory'!$G:$G))</f>
        <v/>
      </c>
      <c r="F261" s="8">
        <f>IF($A261="","",IF(E261&lt;=0.8,"A",IF(E261&lt;=0.95,"B","C")))</f>
        <v/>
      </c>
    </row>
    <row r="262">
      <c r="A262" s="8">
        <f>IF(261&gt;COUNT('Master Inventory'!$G:$G),"",INDEX('Master Inventory'!$A:$A,MATCH(261,'Master Inventory'!$J:$J,0)))</f>
        <v/>
      </c>
      <c r="B262" s="8">
        <f>IF($A262="","",INDEX('Master Inventory'!$B:$B,MATCH($A262,'Master Inventory'!$A:$A,0)))</f>
        <v/>
      </c>
      <c r="C262" s="7">
        <f>IF($A262="","",INDEX('Master Inventory'!$G:$G,MATCH($A262,'Master Inventory'!$A:$A,0)))</f>
        <v/>
      </c>
      <c r="D262" s="7">
        <f>IF($A262="","",D261+C262)</f>
        <v/>
      </c>
      <c r="E262" s="9">
        <f>IF($A262="","",D262/SUM('Master Inventory'!$G:$G))</f>
        <v/>
      </c>
      <c r="F262" s="8">
        <f>IF($A262="","",IF(E262&lt;=0.8,"A",IF(E262&lt;=0.95,"B","C")))</f>
        <v/>
      </c>
    </row>
    <row r="263">
      <c r="A263" s="8">
        <f>IF(262&gt;COUNT('Master Inventory'!$G:$G),"",INDEX('Master Inventory'!$A:$A,MATCH(262,'Master Inventory'!$J:$J,0)))</f>
        <v/>
      </c>
      <c r="B263" s="8">
        <f>IF($A263="","",INDEX('Master Inventory'!$B:$B,MATCH($A263,'Master Inventory'!$A:$A,0)))</f>
        <v/>
      </c>
      <c r="C263" s="7">
        <f>IF($A263="","",INDEX('Master Inventory'!$G:$G,MATCH($A263,'Master Inventory'!$A:$A,0)))</f>
        <v/>
      </c>
      <c r="D263" s="7">
        <f>IF($A263="","",D262+C263)</f>
        <v/>
      </c>
      <c r="E263" s="9">
        <f>IF($A263="","",D263/SUM('Master Inventory'!$G:$G))</f>
        <v/>
      </c>
      <c r="F263" s="8">
        <f>IF($A263="","",IF(E263&lt;=0.8,"A",IF(E263&lt;=0.95,"B","C")))</f>
        <v/>
      </c>
    </row>
    <row r="264">
      <c r="A264" s="8">
        <f>IF(263&gt;COUNT('Master Inventory'!$G:$G),"",INDEX('Master Inventory'!$A:$A,MATCH(263,'Master Inventory'!$J:$J,0)))</f>
        <v/>
      </c>
      <c r="B264" s="8">
        <f>IF($A264="","",INDEX('Master Inventory'!$B:$B,MATCH($A264,'Master Inventory'!$A:$A,0)))</f>
        <v/>
      </c>
      <c r="C264" s="7">
        <f>IF($A264="","",INDEX('Master Inventory'!$G:$G,MATCH($A264,'Master Inventory'!$A:$A,0)))</f>
        <v/>
      </c>
      <c r="D264" s="7">
        <f>IF($A264="","",D263+C264)</f>
        <v/>
      </c>
      <c r="E264" s="9">
        <f>IF($A264="","",D264/SUM('Master Inventory'!$G:$G))</f>
        <v/>
      </c>
      <c r="F264" s="8">
        <f>IF($A264="","",IF(E264&lt;=0.8,"A",IF(E264&lt;=0.95,"B","C")))</f>
        <v/>
      </c>
    </row>
    <row r="265">
      <c r="A265" s="8">
        <f>IF(264&gt;COUNT('Master Inventory'!$G:$G),"",INDEX('Master Inventory'!$A:$A,MATCH(264,'Master Inventory'!$J:$J,0)))</f>
        <v/>
      </c>
      <c r="B265" s="8">
        <f>IF($A265="","",INDEX('Master Inventory'!$B:$B,MATCH($A265,'Master Inventory'!$A:$A,0)))</f>
        <v/>
      </c>
      <c r="C265" s="7">
        <f>IF($A265="","",INDEX('Master Inventory'!$G:$G,MATCH($A265,'Master Inventory'!$A:$A,0)))</f>
        <v/>
      </c>
      <c r="D265" s="7">
        <f>IF($A265="","",D264+C265)</f>
        <v/>
      </c>
      <c r="E265" s="9">
        <f>IF($A265="","",D265/SUM('Master Inventory'!$G:$G))</f>
        <v/>
      </c>
      <c r="F265" s="8">
        <f>IF($A265="","",IF(E265&lt;=0.8,"A",IF(E265&lt;=0.95,"B","C")))</f>
        <v/>
      </c>
    </row>
    <row r="266">
      <c r="A266" s="8">
        <f>IF(265&gt;COUNT('Master Inventory'!$G:$G),"",INDEX('Master Inventory'!$A:$A,MATCH(265,'Master Inventory'!$J:$J,0)))</f>
        <v/>
      </c>
      <c r="B266" s="8">
        <f>IF($A266="","",INDEX('Master Inventory'!$B:$B,MATCH($A266,'Master Inventory'!$A:$A,0)))</f>
        <v/>
      </c>
      <c r="C266" s="7">
        <f>IF($A266="","",INDEX('Master Inventory'!$G:$G,MATCH($A266,'Master Inventory'!$A:$A,0)))</f>
        <v/>
      </c>
      <c r="D266" s="7">
        <f>IF($A266="","",D265+C266)</f>
        <v/>
      </c>
      <c r="E266" s="9">
        <f>IF($A266="","",D266/SUM('Master Inventory'!$G:$G))</f>
        <v/>
      </c>
      <c r="F266" s="8">
        <f>IF($A266="","",IF(E266&lt;=0.8,"A",IF(E266&lt;=0.95,"B","C")))</f>
        <v/>
      </c>
    </row>
    <row r="267">
      <c r="A267" s="8">
        <f>IF(266&gt;COUNT('Master Inventory'!$G:$G),"",INDEX('Master Inventory'!$A:$A,MATCH(266,'Master Inventory'!$J:$J,0)))</f>
        <v/>
      </c>
      <c r="B267" s="8">
        <f>IF($A267="","",INDEX('Master Inventory'!$B:$B,MATCH($A267,'Master Inventory'!$A:$A,0)))</f>
        <v/>
      </c>
      <c r="C267" s="7">
        <f>IF($A267="","",INDEX('Master Inventory'!$G:$G,MATCH($A267,'Master Inventory'!$A:$A,0)))</f>
        <v/>
      </c>
      <c r="D267" s="7">
        <f>IF($A267="","",D266+C267)</f>
        <v/>
      </c>
      <c r="E267" s="9">
        <f>IF($A267="","",D267/SUM('Master Inventory'!$G:$G))</f>
        <v/>
      </c>
      <c r="F267" s="8">
        <f>IF($A267="","",IF(E267&lt;=0.8,"A",IF(E267&lt;=0.95,"B","C")))</f>
        <v/>
      </c>
    </row>
    <row r="268">
      <c r="A268" s="8">
        <f>IF(267&gt;COUNT('Master Inventory'!$G:$G),"",INDEX('Master Inventory'!$A:$A,MATCH(267,'Master Inventory'!$J:$J,0)))</f>
        <v/>
      </c>
      <c r="B268" s="8">
        <f>IF($A268="","",INDEX('Master Inventory'!$B:$B,MATCH($A268,'Master Inventory'!$A:$A,0)))</f>
        <v/>
      </c>
      <c r="C268" s="7">
        <f>IF($A268="","",INDEX('Master Inventory'!$G:$G,MATCH($A268,'Master Inventory'!$A:$A,0)))</f>
        <v/>
      </c>
      <c r="D268" s="7">
        <f>IF($A268="","",D267+C268)</f>
        <v/>
      </c>
      <c r="E268" s="9">
        <f>IF($A268="","",D268/SUM('Master Inventory'!$G:$G))</f>
        <v/>
      </c>
      <c r="F268" s="8">
        <f>IF($A268="","",IF(E268&lt;=0.8,"A",IF(E268&lt;=0.95,"B","C")))</f>
        <v/>
      </c>
    </row>
    <row r="269">
      <c r="A269" s="8">
        <f>IF(268&gt;COUNT('Master Inventory'!$G:$G),"",INDEX('Master Inventory'!$A:$A,MATCH(268,'Master Inventory'!$J:$J,0)))</f>
        <v/>
      </c>
      <c r="B269" s="8">
        <f>IF($A269="","",INDEX('Master Inventory'!$B:$B,MATCH($A269,'Master Inventory'!$A:$A,0)))</f>
        <v/>
      </c>
      <c r="C269" s="7">
        <f>IF($A269="","",INDEX('Master Inventory'!$G:$G,MATCH($A269,'Master Inventory'!$A:$A,0)))</f>
        <v/>
      </c>
      <c r="D269" s="7">
        <f>IF($A269="","",D268+C269)</f>
        <v/>
      </c>
      <c r="E269" s="9">
        <f>IF($A269="","",D269/SUM('Master Inventory'!$G:$G))</f>
        <v/>
      </c>
      <c r="F269" s="8">
        <f>IF($A269="","",IF(E269&lt;=0.8,"A",IF(E269&lt;=0.95,"B","C")))</f>
        <v/>
      </c>
    </row>
    <row r="270">
      <c r="A270" s="8">
        <f>IF(269&gt;COUNT('Master Inventory'!$G:$G),"",INDEX('Master Inventory'!$A:$A,MATCH(269,'Master Inventory'!$J:$J,0)))</f>
        <v/>
      </c>
      <c r="B270" s="8">
        <f>IF($A270="","",INDEX('Master Inventory'!$B:$B,MATCH($A270,'Master Inventory'!$A:$A,0)))</f>
        <v/>
      </c>
      <c r="C270" s="7">
        <f>IF($A270="","",INDEX('Master Inventory'!$G:$G,MATCH($A270,'Master Inventory'!$A:$A,0)))</f>
        <v/>
      </c>
      <c r="D270" s="7">
        <f>IF($A270="","",D269+C270)</f>
        <v/>
      </c>
      <c r="E270" s="9">
        <f>IF($A270="","",D270/SUM('Master Inventory'!$G:$G))</f>
        <v/>
      </c>
      <c r="F270" s="8">
        <f>IF($A270="","",IF(E270&lt;=0.8,"A",IF(E270&lt;=0.95,"B","C")))</f>
        <v/>
      </c>
    </row>
    <row r="271">
      <c r="A271" s="8">
        <f>IF(270&gt;COUNT('Master Inventory'!$G:$G),"",INDEX('Master Inventory'!$A:$A,MATCH(270,'Master Inventory'!$J:$J,0)))</f>
        <v/>
      </c>
      <c r="B271" s="8">
        <f>IF($A271="","",INDEX('Master Inventory'!$B:$B,MATCH($A271,'Master Inventory'!$A:$A,0)))</f>
        <v/>
      </c>
      <c r="C271" s="7">
        <f>IF($A271="","",INDEX('Master Inventory'!$G:$G,MATCH($A271,'Master Inventory'!$A:$A,0)))</f>
        <v/>
      </c>
      <c r="D271" s="7">
        <f>IF($A271="","",D270+C271)</f>
        <v/>
      </c>
      <c r="E271" s="9">
        <f>IF($A271="","",D271/SUM('Master Inventory'!$G:$G))</f>
        <v/>
      </c>
      <c r="F271" s="8">
        <f>IF($A271="","",IF(E271&lt;=0.8,"A",IF(E271&lt;=0.95,"B","C")))</f>
        <v/>
      </c>
    </row>
    <row r="272">
      <c r="A272" s="8">
        <f>IF(271&gt;COUNT('Master Inventory'!$G:$G),"",INDEX('Master Inventory'!$A:$A,MATCH(271,'Master Inventory'!$J:$J,0)))</f>
        <v/>
      </c>
      <c r="B272" s="8">
        <f>IF($A272="","",INDEX('Master Inventory'!$B:$B,MATCH($A272,'Master Inventory'!$A:$A,0)))</f>
        <v/>
      </c>
      <c r="C272" s="7">
        <f>IF($A272="","",INDEX('Master Inventory'!$G:$G,MATCH($A272,'Master Inventory'!$A:$A,0)))</f>
        <v/>
      </c>
      <c r="D272" s="7">
        <f>IF($A272="","",D271+C272)</f>
        <v/>
      </c>
      <c r="E272" s="9">
        <f>IF($A272="","",D272/SUM('Master Inventory'!$G:$G))</f>
        <v/>
      </c>
      <c r="F272" s="8">
        <f>IF($A272="","",IF(E272&lt;=0.8,"A",IF(E272&lt;=0.95,"B","C")))</f>
        <v/>
      </c>
    </row>
    <row r="273">
      <c r="A273" s="8">
        <f>IF(272&gt;COUNT('Master Inventory'!$G:$G),"",INDEX('Master Inventory'!$A:$A,MATCH(272,'Master Inventory'!$J:$J,0)))</f>
        <v/>
      </c>
      <c r="B273" s="8">
        <f>IF($A273="","",INDEX('Master Inventory'!$B:$B,MATCH($A273,'Master Inventory'!$A:$A,0)))</f>
        <v/>
      </c>
      <c r="C273" s="7">
        <f>IF($A273="","",INDEX('Master Inventory'!$G:$G,MATCH($A273,'Master Inventory'!$A:$A,0)))</f>
        <v/>
      </c>
      <c r="D273" s="7">
        <f>IF($A273="","",D272+C273)</f>
        <v/>
      </c>
      <c r="E273" s="9">
        <f>IF($A273="","",D273/SUM('Master Inventory'!$G:$G))</f>
        <v/>
      </c>
      <c r="F273" s="8">
        <f>IF($A273="","",IF(E273&lt;=0.8,"A",IF(E273&lt;=0.95,"B","C")))</f>
        <v/>
      </c>
    </row>
    <row r="274">
      <c r="A274" s="8">
        <f>IF(273&gt;COUNT('Master Inventory'!$G:$G),"",INDEX('Master Inventory'!$A:$A,MATCH(273,'Master Inventory'!$J:$J,0)))</f>
        <v/>
      </c>
      <c r="B274" s="8">
        <f>IF($A274="","",INDEX('Master Inventory'!$B:$B,MATCH($A274,'Master Inventory'!$A:$A,0)))</f>
        <v/>
      </c>
      <c r="C274" s="7">
        <f>IF($A274="","",INDEX('Master Inventory'!$G:$G,MATCH($A274,'Master Inventory'!$A:$A,0)))</f>
        <v/>
      </c>
      <c r="D274" s="7">
        <f>IF($A274="","",D273+C274)</f>
        <v/>
      </c>
      <c r="E274" s="9">
        <f>IF($A274="","",D274/SUM('Master Inventory'!$G:$G))</f>
        <v/>
      </c>
      <c r="F274" s="8">
        <f>IF($A274="","",IF(E274&lt;=0.8,"A",IF(E274&lt;=0.95,"B","C")))</f>
        <v/>
      </c>
    </row>
    <row r="275">
      <c r="A275" s="8">
        <f>IF(274&gt;COUNT('Master Inventory'!$G:$G),"",INDEX('Master Inventory'!$A:$A,MATCH(274,'Master Inventory'!$J:$J,0)))</f>
        <v/>
      </c>
      <c r="B275" s="8">
        <f>IF($A275="","",INDEX('Master Inventory'!$B:$B,MATCH($A275,'Master Inventory'!$A:$A,0)))</f>
        <v/>
      </c>
      <c r="C275" s="7">
        <f>IF($A275="","",INDEX('Master Inventory'!$G:$G,MATCH($A275,'Master Inventory'!$A:$A,0)))</f>
        <v/>
      </c>
      <c r="D275" s="7">
        <f>IF($A275="","",D274+C275)</f>
        <v/>
      </c>
      <c r="E275" s="9">
        <f>IF($A275="","",D275/SUM('Master Inventory'!$G:$G))</f>
        <v/>
      </c>
      <c r="F275" s="8">
        <f>IF($A275="","",IF(E275&lt;=0.8,"A",IF(E275&lt;=0.95,"B","C")))</f>
        <v/>
      </c>
    </row>
    <row r="276">
      <c r="A276" s="8">
        <f>IF(275&gt;COUNT('Master Inventory'!$G:$G),"",INDEX('Master Inventory'!$A:$A,MATCH(275,'Master Inventory'!$J:$J,0)))</f>
        <v/>
      </c>
      <c r="B276" s="8">
        <f>IF($A276="","",INDEX('Master Inventory'!$B:$B,MATCH($A276,'Master Inventory'!$A:$A,0)))</f>
        <v/>
      </c>
      <c r="C276" s="7">
        <f>IF($A276="","",INDEX('Master Inventory'!$G:$G,MATCH($A276,'Master Inventory'!$A:$A,0)))</f>
        <v/>
      </c>
      <c r="D276" s="7">
        <f>IF($A276="","",D275+C276)</f>
        <v/>
      </c>
      <c r="E276" s="9">
        <f>IF($A276="","",D276/SUM('Master Inventory'!$G:$G))</f>
        <v/>
      </c>
      <c r="F276" s="8">
        <f>IF($A276="","",IF(E276&lt;=0.8,"A",IF(E276&lt;=0.95,"B","C")))</f>
        <v/>
      </c>
    </row>
    <row r="277">
      <c r="A277" s="8">
        <f>IF(276&gt;COUNT('Master Inventory'!$G:$G),"",INDEX('Master Inventory'!$A:$A,MATCH(276,'Master Inventory'!$J:$J,0)))</f>
        <v/>
      </c>
      <c r="B277" s="8">
        <f>IF($A277="","",INDEX('Master Inventory'!$B:$B,MATCH($A277,'Master Inventory'!$A:$A,0)))</f>
        <v/>
      </c>
      <c r="C277" s="7">
        <f>IF($A277="","",INDEX('Master Inventory'!$G:$G,MATCH($A277,'Master Inventory'!$A:$A,0)))</f>
        <v/>
      </c>
      <c r="D277" s="7">
        <f>IF($A277="","",D276+C277)</f>
        <v/>
      </c>
      <c r="E277" s="9">
        <f>IF($A277="","",D277/SUM('Master Inventory'!$G:$G))</f>
        <v/>
      </c>
      <c r="F277" s="8">
        <f>IF($A277="","",IF(E277&lt;=0.8,"A",IF(E277&lt;=0.95,"B","C")))</f>
        <v/>
      </c>
    </row>
    <row r="278">
      <c r="A278" s="8">
        <f>IF(277&gt;COUNT('Master Inventory'!$G:$G),"",INDEX('Master Inventory'!$A:$A,MATCH(277,'Master Inventory'!$J:$J,0)))</f>
        <v/>
      </c>
      <c r="B278" s="8">
        <f>IF($A278="","",INDEX('Master Inventory'!$B:$B,MATCH($A278,'Master Inventory'!$A:$A,0)))</f>
        <v/>
      </c>
      <c r="C278" s="7">
        <f>IF($A278="","",INDEX('Master Inventory'!$G:$G,MATCH($A278,'Master Inventory'!$A:$A,0)))</f>
        <v/>
      </c>
      <c r="D278" s="7">
        <f>IF($A278="","",D277+C278)</f>
        <v/>
      </c>
      <c r="E278" s="9">
        <f>IF($A278="","",D278/SUM('Master Inventory'!$G:$G))</f>
        <v/>
      </c>
      <c r="F278" s="8">
        <f>IF($A278="","",IF(E278&lt;=0.8,"A",IF(E278&lt;=0.95,"B","C")))</f>
        <v/>
      </c>
    </row>
    <row r="279">
      <c r="A279" s="8">
        <f>IF(278&gt;COUNT('Master Inventory'!$G:$G),"",INDEX('Master Inventory'!$A:$A,MATCH(278,'Master Inventory'!$J:$J,0)))</f>
        <v/>
      </c>
      <c r="B279" s="8">
        <f>IF($A279="","",INDEX('Master Inventory'!$B:$B,MATCH($A279,'Master Inventory'!$A:$A,0)))</f>
        <v/>
      </c>
      <c r="C279" s="7">
        <f>IF($A279="","",INDEX('Master Inventory'!$G:$G,MATCH($A279,'Master Inventory'!$A:$A,0)))</f>
        <v/>
      </c>
      <c r="D279" s="7">
        <f>IF($A279="","",D278+C279)</f>
        <v/>
      </c>
      <c r="E279" s="9">
        <f>IF($A279="","",D279/SUM('Master Inventory'!$G:$G))</f>
        <v/>
      </c>
      <c r="F279" s="8">
        <f>IF($A279="","",IF(E279&lt;=0.8,"A",IF(E279&lt;=0.95,"B","C")))</f>
        <v/>
      </c>
    </row>
    <row r="280">
      <c r="A280" s="8">
        <f>IF(279&gt;COUNT('Master Inventory'!$G:$G),"",INDEX('Master Inventory'!$A:$A,MATCH(279,'Master Inventory'!$J:$J,0)))</f>
        <v/>
      </c>
      <c r="B280" s="8">
        <f>IF($A280="","",INDEX('Master Inventory'!$B:$B,MATCH($A280,'Master Inventory'!$A:$A,0)))</f>
        <v/>
      </c>
      <c r="C280" s="7">
        <f>IF($A280="","",INDEX('Master Inventory'!$G:$G,MATCH($A280,'Master Inventory'!$A:$A,0)))</f>
        <v/>
      </c>
      <c r="D280" s="7">
        <f>IF($A280="","",D279+C280)</f>
        <v/>
      </c>
      <c r="E280" s="9">
        <f>IF($A280="","",D280/SUM('Master Inventory'!$G:$G))</f>
        <v/>
      </c>
      <c r="F280" s="8">
        <f>IF($A280="","",IF(E280&lt;=0.8,"A",IF(E280&lt;=0.95,"B","C")))</f>
        <v/>
      </c>
    </row>
    <row r="281">
      <c r="A281" s="8">
        <f>IF(280&gt;COUNT('Master Inventory'!$G:$G),"",INDEX('Master Inventory'!$A:$A,MATCH(280,'Master Inventory'!$J:$J,0)))</f>
        <v/>
      </c>
      <c r="B281" s="8">
        <f>IF($A281="","",INDEX('Master Inventory'!$B:$B,MATCH($A281,'Master Inventory'!$A:$A,0)))</f>
        <v/>
      </c>
      <c r="C281" s="7">
        <f>IF($A281="","",INDEX('Master Inventory'!$G:$G,MATCH($A281,'Master Inventory'!$A:$A,0)))</f>
        <v/>
      </c>
      <c r="D281" s="7">
        <f>IF($A281="","",D280+C281)</f>
        <v/>
      </c>
      <c r="E281" s="9">
        <f>IF($A281="","",D281/SUM('Master Inventory'!$G:$G))</f>
        <v/>
      </c>
      <c r="F281" s="8">
        <f>IF($A281="","",IF(E281&lt;=0.8,"A",IF(E281&lt;=0.95,"B","C")))</f>
        <v/>
      </c>
    </row>
    <row r="282">
      <c r="A282" s="8">
        <f>IF(281&gt;COUNT('Master Inventory'!$G:$G),"",INDEX('Master Inventory'!$A:$A,MATCH(281,'Master Inventory'!$J:$J,0)))</f>
        <v/>
      </c>
      <c r="B282" s="8">
        <f>IF($A282="","",INDEX('Master Inventory'!$B:$B,MATCH($A282,'Master Inventory'!$A:$A,0)))</f>
        <v/>
      </c>
      <c r="C282" s="7">
        <f>IF($A282="","",INDEX('Master Inventory'!$G:$G,MATCH($A282,'Master Inventory'!$A:$A,0)))</f>
        <v/>
      </c>
      <c r="D282" s="7">
        <f>IF($A282="","",D281+C282)</f>
        <v/>
      </c>
      <c r="E282" s="9">
        <f>IF($A282="","",D282/SUM('Master Inventory'!$G:$G))</f>
        <v/>
      </c>
      <c r="F282" s="8">
        <f>IF($A282="","",IF(E282&lt;=0.8,"A",IF(E282&lt;=0.95,"B","C")))</f>
        <v/>
      </c>
    </row>
    <row r="283">
      <c r="A283" s="8">
        <f>IF(282&gt;COUNT('Master Inventory'!$G:$G),"",INDEX('Master Inventory'!$A:$A,MATCH(282,'Master Inventory'!$J:$J,0)))</f>
        <v/>
      </c>
      <c r="B283" s="8">
        <f>IF($A283="","",INDEX('Master Inventory'!$B:$B,MATCH($A283,'Master Inventory'!$A:$A,0)))</f>
        <v/>
      </c>
      <c r="C283" s="7">
        <f>IF($A283="","",INDEX('Master Inventory'!$G:$G,MATCH($A283,'Master Inventory'!$A:$A,0)))</f>
        <v/>
      </c>
      <c r="D283" s="7">
        <f>IF($A283="","",D282+C283)</f>
        <v/>
      </c>
      <c r="E283" s="9">
        <f>IF($A283="","",D283/SUM('Master Inventory'!$G:$G))</f>
        <v/>
      </c>
      <c r="F283" s="8">
        <f>IF($A283="","",IF(E283&lt;=0.8,"A",IF(E283&lt;=0.95,"B","C")))</f>
        <v/>
      </c>
    </row>
    <row r="284">
      <c r="A284" s="8">
        <f>IF(283&gt;COUNT('Master Inventory'!$G:$G),"",INDEX('Master Inventory'!$A:$A,MATCH(283,'Master Inventory'!$J:$J,0)))</f>
        <v/>
      </c>
      <c r="B284" s="8">
        <f>IF($A284="","",INDEX('Master Inventory'!$B:$B,MATCH($A284,'Master Inventory'!$A:$A,0)))</f>
        <v/>
      </c>
      <c r="C284" s="7">
        <f>IF($A284="","",INDEX('Master Inventory'!$G:$G,MATCH($A284,'Master Inventory'!$A:$A,0)))</f>
        <v/>
      </c>
      <c r="D284" s="7">
        <f>IF($A284="","",D283+C284)</f>
        <v/>
      </c>
      <c r="E284" s="9">
        <f>IF($A284="","",D284/SUM('Master Inventory'!$G:$G))</f>
        <v/>
      </c>
      <c r="F284" s="8">
        <f>IF($A284="","",IF(E284&lt;=0.8,"A",IF(E284&lt;=0.95,"B","C")))</f>
        <v/>
      </c>
    </row>
    <row r="285">
      <c r="A285" s="8">
        <f>IF(284&gt;COUNT('Master Inventory'!$G:$G),"",INDEX('Master Inventory'!$A:$A,MATCH(284,'Master Inventory'!$J:$J,0)))</f>
        <v/>
      </c>
      <c r="B285" s="8">
        <f>IF($A285="","",INDEX('Master Inventory'!$B:$B,MATCH($A285,'Master Inventory'!$A:$A,0)))</f>
        <v/>
      </c>
      <c r="C285" s="7">
        <f>IF($A285="","",INDEX('Master Inventory'!$G:$G,MATCH($A285,'Master Inventory'!$A:$A,0)))</f>
        <v/>
      </c>
      <c r="D285" s="7">
        <f>IF($A285="","",D284+C285)</f>
        <v/>
      </c>
      <c r="E285" s="9">
        <f>IF($A285="","",D285/SUM('Master Inventory'!$G:$G))</f>
        <v/>
      </c>
      <c r="F285" s="8">
        <f>IF($A285="","",IF(E285&lt;=0.8,"A",IF(E285&lt;=0.95,"B","C")))</f>
        <v/>
      </c>
    </row>
    <row r="286">
      <c r="A286" s="8">
        <f>IF(285&gt;COUNT('Master Inventory'!$G:$G),"",INDEX('Master Inventory'!$A:$A,MATCH(285,'Master Inventory'!$J:$J,0)))</f>
        <v/>
      </c>
      <c r="B286" s="8">
        <f>IF($A286="","",INDEX('Master Inventory'!$B:$B,MATCH($A286,'Master Inventory'!$A:$A,0)))</f>
        <v/>
      </c>
      <c r="C286" s="7">
        <f>IF($A286="","",INDEX('Master Inventory'!$G:$G,MATCH($A286,'Master Inventory'!$A:$A,0)))</f>
        <v/>
      </c>
      <c r="D286" s="7">
        <f>IF($A286="","",D285+C286)</f>
        <v/>
      </c>
      <c r="E286" s="9">
        <f>IF($A286="","",D286/SUM('Master Inventory'!$G:$G))</f>
        <v/>
      </c>
      <c r="F286" s="8">
        <f>IF($A286="","",IF(E286&lt;=0.8,"A",IF(E286&lt;=0.95,"B","C")))</f>
        <v/>
      </c>
    </row>
    <row r="287">
      <c r="A287" s="8">
        <f>IF(286&gt;COUNT('Master Inventory'!$G:$G),"",INDEX('Master Inventory'!$A:$A,MATCH(286,'Master Inventory'!$J:$J,0)))</f>
        <v/>
      </c>
      <c r="B287" s="8">
        <f>IF($A287="","",INDEX('Master Inventory'!$B:$B,MATCH($A287,'Master Inventory'!$A:$A,0)))</f>
        <v/>
      </c>
      <c r="C287" s="7">
        <f>IF($A287="","",INDEX('Master Inventory'!$G:$G,MATCH($A287,'Master Inventory'!$A:$A,0)))</f>
        <v/>
      </c>
      <c r="D287" s="7">
        <f>IF($A287="","",D286+C287)</f>
        <v/>
      </c>
      <c r="E287" s="9">
        <f>IF($A287="","",D287/SUM('Master Inventory'!$G:$G))</f>
        <v/>
      </c>
      <c r="F287" s="8">
        <f>IF($A287="","",IF(E287&lt;=0.8,"A",IF(E287&lt;=0.95,"B","C")))</f>
        <v/>
      </c>
    </row>
    <row r="288">
      <c r="A288" s="8">
        <f>IF(287&gt;COUNT('Master Inventory'!$G:$G),"",INDEX('Master Inventory'!$A:$A,MATCH(287,'Master Inventory'!$J:$J,0)))</f>
        <v/>
      </c>
      <c r="B288" s="8">
        <f>IF($A288="","",INDEX('Master Inventory'!$B:$B,MATCH($A288,'Master Inventory'!$A:$A,0)))</f>
        <v/>
      </c>
      <c r="C288" s="7">
        <f>IF($A288="","",INDEX('Master Inventory'!$G:$G,MATCH($A288,'Master Inventory'!$A:$A,0)))</f>
        <v/>
      </c>
      <c r="D288" s="7">
        <f>IF($A288="","",D287+C288)</f>
        <v/>
      </c>
      <c r="E288" s="9">
        <f>IF($A288="","",D288/SUM('Master Inventory'!$G:$G))</f>
        <v/>
      </c>
      <c r="F288" s="8">
        <f>IF($A288="","",IF(E288&lt;=0.8,"A",IF(E288&lt;=0.95,"B","C")))</f>
        <v/>
      </c>
    </row>
    <row r="289">
      <c r="A289" s="8">
        <f>IF(288&gt;COUNT('Master Inventory'!$G:$G),"",INDEX('Master Inventory'!$A:$A,MATCH(288,'Master Inventory'!$J:$J,0)))</f>
        <v/>
      </c>
      <c r="B289" s="8">
        <f>IF($A289="","",INDEX('Master Inventory'!$B:$B,MATCH($A289,'Master Inventory'!$A:$A,0)))</f>
        <v/>
      </c>
      <c r="C289" s="7">
        <f>IF($A289="","",INDEX('Master Inventory'!$G:$G,MATCH($A289,'Master Inventory'!$A:$A,0)))</f>
        <v/>
      </c>
      <c r="D289" s="7">
        <f>IF($A289="","",D288+C289)</f>
        <v/>
      </c>
      <c r="E289" s="9">
        <f>IF($A289="","",D289/SUM('Master Inventory'!$G:$G))</f>
        <v/>
      </c>
      <c r="F289" s="8">
        <f>IF($A289="","",IF(E289&lt;=0.8,"A",IF(E289&lt;=0.95,"B","C")))</f>
        <v/>
      </c>
    </row>
    <row r="290">
      <c r="A290" s="8">
        <f>IF(289&gt;COUNT('Master Inventory'!$G:$G),"",INDEX('Master Inventory'!$A:$A,MATCH(289,'Master Inventory'!$J:$J,0)))</f>
        <v/>
      </c>
      <c r="B290" s="8">
        <f>IF($A290="","",INDEX('Master Inventory'!$B:$B,MATCH($A290,'Master Inventory'!$A:$A,0)))</f>
        <v/>
      </c>
      <c r="C290" s="7">
        <f>IF($A290="","",INDEX('Master Inventory'!$G:$G,MATCH($A290,'Master Inventory'!$A:$A,0)))</f>
        <v/>
      </c>
      <c r="D290" s="7">
        <f>IF($A290="","",D289+C290)</f>
        <v/>
      </c>
      <c r="E290" s="9">
        <f>IF($A290="","",D290/SUM('Master Inventory'!$G:$G))</f>
        <v/>
      </c>
      <c r="F290" s="8">
        <f>IF($A290="","",IF(E290&lt;=0.8,"A",IF(E290&lt;=0.95,"B","C")))</f>
        <v/>
      </c>
    </row>
    <row r="291">
      <c r="A291" s="8">
        <f>IF(290&gt;COUNT('Master Inventory'!$G:$G),"",INDEX('Master Inventory'!$A:$A,MATCH(290,'Master Inventory'!$J:$J,0)))</f>
        <v/>
      </c>
      <c r="B291" s="8">
        <f>IF($A291="","",INDEX('Master Inventory'!$B:$B,MATCH($A291,'Master Inventory'!$A:$A,0)))</f>
        <v/>
      </c>
      <c r="C291" s="7">
        <f>IF($A291="","",INDEX('Master Inventory'!$G:$G,MATCH($A291,'Master Inventory'!$A:$A,0)))</f>
        <v/>
      </c>
      <c r="D291" s="7">
        <f>IF($A291="","",D290+C291)</f>
        <v/>
      </c>
      <c r="E291" s="9">
        <f>IF($A291="","",D291/SUM('Master Inventory'!$G:$G))</f>
        <v/>
      </c>
      <c r="F291" s="8">
        <f>IF($A291="","",IF(E291&lt;=0.8,"A",IF(E291&lt;=0.95,"B","C")))</f>
        <v/>
      </c>
    </row>
    <row r="292">
      <c r="A292" s="8">
        <f>IF(291&gt;COUNT('Master Inventory'!$G:$G),"",INDEX('Master Inventory'!$A:$A,MATCH(291,'Master Inventory'!$J:$J,0)))</f>
        <v/>
      </c>
      <c r="B292" s="8">
        <f>IF($A292="","",INDEX('Master Inventory'!$B:$B,MATCH($A292,'Master Inventory'!$A:$A,0)))</f>
        <v/>
      </c>
      <c r="C292" s="7">
        <f>IF($A292="","",INDEX('Master Inventory'!$G:$G,MATCH($A292,'Master Inventory'!$A:$A,0)))</f>
        <v/>
      </c>
      <c r="D292" s="7">
        <f>IF($A292="","",D291+C292)</f>
        <v/>
      </c>
      <c r="E292" s="9">
        <f>IF($A292="","",D292/SUM('Master Inventory'!$G:$G))</f>
        <v/>
      </c>
      <c r="F292" s="8">
        <f>IF($A292="","",IF(E292&lt;=0.8,"A",IF(E292&lt;=0.95,"B","C")))</f>
        <v/>
      </c>
    </row>
    <row r="293">
      <c r="A293" s="8">
        <f>IF(292&gt;COUNT('Master Inventory'!$G:$G),"",INDEX('Master Inventory'!$A:$A,MATCH(292,'Master Inventory'!$J:$J,0)))</f>
        <v/>
      </c>
      <c r="B293" s="8">
        <f>IF($A293="","",INDEX('Master Inventory'!$B:$B,MATCH($A293,'Master Inventory'!$A:$A,0)))</f>
        <v/>
      </c>
      <c r="C293" s="7">
        <f>IF($A293="","",INDEX('Master Inventory'!$G:$G,MATCH($A293,'Master Inventory'!$A:$A,0)))</f>
        <v/>
      </c>
      <c r="D293" s="7">
        <f>IF($A293="","",D292+C293)</f>
        <v/>
      </c>
      <c r="E293" s="9">
        <f>IF($A293="","",D293/SUM('Master Inventory'!$G:$G))</f>
        <v/>
      </c>
      <c r="F293" s="8">
        <f>IF($A293="","",IF(E293&lt;=0.8,"A",IF(E293&lt;=0.95,"B","C")))</f>
        <v/>
      </c>
    </row>
    <row r="294">
      <c r="A294" s="8">
        <f>IF(293&gt;COUNT('Master Inventory'!$G:$G),"",INDEX('Master Inventory'!$A:$A,MATCH(293,'Master Inventory'!$J:$J,0)))</f>
        <v/>
      </c>
      <c r="B294" s="8">
        <f>IF($A294="","",INDEX('Master Inventory'!$B:$B,MATCH($A294,'Master Inventory'!$A:$A,0)))</f>
        <v/>
      </c>
      <c r="C294" s="7">
        <f>IF($A294="","",INDEX('Master Inventory'!$G:$G,MATCH($A294,'Master Inventory'!$A:$A,0)))</f>
        <v/>
      </c>
      <c r="D294" s="7">
        <f>IF($A294="","",D293+C294)</f>
        <v/>
      </c>
      <c r="E294" s="9">
        <f>IF($A294="","",D294/SUM('Master Inventory'!$G:$G))</f>
        <v/>
      </c>
      <c r="F294" s="8">
        <f>IF($A294="","",IF(E294&lt;=0.8,"A",IF(E294&lt;=0.95,"B","C")))</f>
        <v/>
      </c>
    </row>
    <row r="295">
      <c r="A295" s="8">
        <f>IF(294&gt;COUNT('Master Inventory'!$G:$G),"",INDEX('Master Inventory'!$A:$A,MATCH(294,'Master Inventory'!$J:$J,0)))</f>
        <v/>
      </c>
      <c r="B295" s="8">
        <f>IF($A295="","",INDEX('Master Inventory'!$B:$B,MATCH($A295,'Master Inventory'!$A:$A,0)))</f>
        <v/>
      </c>
      <c r="C295" s="7">
        <f>IF($A295="","",INDEX('Master Inventory'!$G:$G,MATCH($A295,'Master Inventory'!$A:$A,0)))</f>
        <v/>
      </c>
      <c r="D295" s="7">
        <f>IF($A295="","",D294+C295)</f>
        <v/>
      </c>
      <c r="E295" s="9">
        <f>IF($A295="","",D295/SUM('Master Inventory'!$G:$G))</f>
        <v/>
      </c>
      <c r="F295" s="8">
        <f>IF($A295="","",IF(E295&lt;=0.8,"A",IF(E295&lt;=0.95,"B","C")))</f>
        <v/>
      </c>
    </row>
    <row r="296">
      <c r="A296" s="8">
        <f>IF(295&gt;COUNT('Master Inventory'!$G:$G),"",INDEX('Master Inventory'!$A:$A,MATCH(295,'Master Inventory'!$J:$J,0)))</f>
        <v/>
      </c>
      <c r="B296" s="8">
        <f>IF($A296="","",INDEX('Master Inventory'!$B:$B,MATCH($A296,'Master Inventory'!$A:$A,0)))</f>
        <v/>
      </c>
      <c r="C296" s="7">
        <f>IF($A296="","",INDEX('Master Inventory'!$G:$G,MATCH($A296,'Master Inventory'!$A:$A,0)))</f>
        <v/>
      </c>
      <c r="D296" s="7">
        <f>IF($A296="","",D295+C296)</f>
        <v/>
      </c>
      <c r="E296" s="9">
        <f>IF($A296="","",D296/SUM('Master Inventory'!$G:$G))</f>
        <v/>
      </c>
      <c r="F296" s="8">
        <f>IF($A296="","",IF(E296&lt;=0.8,"A",IF(E296&lt;=0.95,"B","C")))</f>
        <v/>
      </c>
    </row>
    <row r="297">
      <c r="A297" s="8">
        <f>IF(296&gt;COUNT('Master Inventory'!$G:$G),"",INDEX('Master Inventory'!$A:$A,MATCH(296,'Master Inventory'!$J:$J,0)))</f>
        <v/>
      </c>
      <c r="B297" s="8">
        <f>IF($A297="","",INDEX('Master Inventory'!$B:$B,MATCH($A297,'Master Inventory'!$A:$A,0)))</f>
        <v/>
      </c>
      <c r="C297" s="7">
        <f>IF($A297="","",INDEX('Master Inventory'!$G:$G,MATCH($A297,'Master Inventory'!$A:$A,0)))</f>
        <v/>
      </c>
      <c r="D297" s="7">
        <f>IF($A297="","",D296+C297)</f>
        <v/>
      </c>
      <c r="E297" s="9">
        <f>IF($A297="","",D297/SUM('Master Inventory'!$G:$G))</f>
        <v/>
      </c>
      <c r="F297" s="8">
        <f>IF($A297="","",IF(E297&lt;=0.8,"A",IF(E297&lt;=0.95,"B","C")))</f>
        <v/>
      </c>
    </row>
    <row r="298">
      <c r="A298" s="8">
        <f>IF(297&gt;COUNT('Master Inventory'!$G:$G),"",INDEX('Master Inventory'!$A:$A,MATCH(297,'Master Inventory'!$J:$J,0)))</f>
        <v/>
      </c>
      <c r="B298" s="8">
        <f>IF($A298="","",INDEX('Master Inventory'!$B:$B,MATCH($A298,'Master Inventory'!$A:$A,0)))</f>
        <v/>
      </c>
      <c r="C298" s="7">
        <f>IF($A298="","",INDEX('Master Inventory'!$G:$G,MATCH($A298,'Master Inventory'!$A:$A,0)))</f>
        <v/>
      </c>
      <c r="D298" s="7">
        <f>IF($A298="","",D297+C298)</f>
        <v/>
      </c>
      <c r="E298" s="9">
        <f>IF($A298="","",D298/SUM('Master Inventory'!$G:$G))</f>
        <v/>
      </c>
      <c r="F298" s="8">
        <f>IF($A298="","",IF(E298&lt;=0.8,"A",IF(E298&lt;=0.95,"B","C")))</f>
        <v/>
      </c>
    </row>
    <row r="299">
      <c r="A299" s="8">
        <f>IF(298&gt;COUNT('Master Inventory'!$G:$G),"",INDEX('Master Inventory'!$A:$A,MATCH(298,'Master Inventory'!$J:$J,0)))</f>
        <v/>
      </c>
      <c r="B299" s="8">
        <f>IF($A299="","",INDEX('Master Inventory'!$B:$B,MATCH($A299,'Master Inventory'!$A:$A,0)))</f>
        <v/>
      </c>
      <c r="C299" s="7">
        <f>IF($A299="","",INDEX('Master Inventory'!$G:$G,MATCH($A299,'Master Inventory'!$A:$A,0)))</f>
        <v/>
      </c>
      <c r="D299" s="7">
        <f>IF($A299="","",D298+C299)</f>
        <v/>
      </c>
      <c r="E299" s="9">
        <f>IF($A299="","",D299/SUM('Master Inventory'!$G:$G))</f>
        <v/>
      </c>
      <c r="F299" s="8">
        <f>IF($A299="","",IF(E299&lt;=0.8,"A",IF(E299&lt;=0.95,"B","C")))</f>
        <v/>
      </c>
    </row>
    <row r="300">
      <c r="A300" s="8">
        <f>IF(299&gt;COUNT('Master Inventory'!$G:$G),"",INDEX('Master Inventory'!$A:$A,MATCH(299,'Master Inventory'!$J:$J,0)))</f>
        <v/>
      </c>
      <c r="B300" s="8">
        <f>IF($A300="","",INDEX('Master Inventory'!$B:$B,MATCH($A300,'Master Inventory'!$A:$A,0)))</f>
        <v/>
      </c>
      <c r="C300" s="7">
        <f>IF($A300="","",INDEX('Master Inventory'!$G:$G,MATCH($A300,'Master Inventory'!$A:$A,0)))</f>
        <v/>
      </c>
      <c r="D300" s="7">
        <f>IF($A300="","",D299+C300)</f>
        <v/>
      </c>
      <c r="E300" s="9">
        <f>IF($A300="","",D300/SUM('Master Inventory'!$G:$G))</f>
        <v/>
      </c>
      <c r="F300" s="8">
        <f>IF($A300="","",IF(E300&lt;=0.8,"A",IF(E300&lt;=0.95,"B","C")))</f>
        <v/>
      </c>
    </row>
    <row r="301">
      <c r="A301" s="8">
        <f>IF(300&gt;COUNT('Master Inventory'!$G:$G),"",INDEX('Master Inventory'!$A:$A,MATCH(300,'Master Inventory'!$J:$J,0)))</f>
        <v/>
      </c>
      <c r="B301" s="8">
        <f>IF($A301="","",INDEX('Master Inventory'!$B:$B,MATCH($A301,'Master Inventory'!$A:$A,0)))</f>
        <v/>
      </c>
      <c r="C301" s="7">
        <f>IF($A301="","",INDEX('Master Inventory'!$G:$G,MATCH($A301,'Master Inventory'!$A:$A,0)))</f>
        <v/>
      </c>
      <c r="D301" s="7">
        <f>IF($A301="","",D300+C301)</f>
        <v/>
      </c>
      <c r="E301" s="9">
        <f>IF($A301="","",D301/SUM('Master Inventory'!$G:$G))</f>
        <v/>
      </c>
      <c r="F301" s="8">
        <f>IF($A301="","",IF(E301&lt;=0.8,"A",IF(E301&lt;=0.95,"B","C")))</f>
        <v/>
      </c>
    </row>
    <row r="302">
      <c r="A302" s="8">
        <f>IF(301&gt;COUNT('Master Inventory'!$G:$G),"",INDEX('Master Inventory'!$A:$A,MATCH(301,'Master Inventory'!$J:$J,0)))</f>
        <v/>
      </c>
      <c r="B302" s="8">
        <f>IF($A302="","",INDEX('Master Inventory'!$B:$B,MATCH($A302,'Master Inventory'!$A:$A,0)))</f>
        <v/>
      </c>
      <c r="C302" s="7">
        <f>IF($A302="","",INDEX('Master Inventory'!$G:$G,MATCH($A302,'Master Inventory'!$A:$A,0)))</f>
        <v/>
      </c>
      <c r="D302" s="7">
        <f>IF($A302="","",D301+C302)</f>
        <v/>
      </c>
      <c r="E302" s="9">
        <f>IF($A302="","",D302/SUM('Master Inventory'!$G:$G))</f>
        <v/>
      </c>
      <c r="F302" s="8">
        <f>IF($A302="","",IF(E302&lt;=0.8,"A",IF(E302&lt;=0.95,"B","C")))</f>
        <v/>
      </c>
    </row>
    <row r="303">
      <c r="A303" s="8">
        <f>IF(302&gt;COUNT('Master Inventory'!$G:$G),"",INDEX('Master Inventory'!$A:$A,MATCH(302,'Master Inventory'!$J:$J,0)))</f>
        <v/>
      </c>
      <c r="B303" s="8">
        <f>IF($A303="","",INDEX('Master Inventory'!$B:$B,MATCH($A303,'Master Inventory'!$A:$A,0)))</f>
        <v/>
      </c>
      <c r="C303" s="7">
        <f>IF($A303="","",INDEX('Master Inventory'!$G:$G,MATCH($A303,'Master Inventory'!$A:$A,0)))</f>
        <v/>
      </c>
      <c r="D303" s="7">
        <f>IF($A303="","",D302+C303)</f>
        <v/>
      </c>
      <c r="E303" s="9">
        <f>IF($A303="","",D303/SUM('Master Inventory'!$G:$G))</f>
        <v/>
      </c>
      <c r="F303" s="8">
        <f>IF($A303="","",IF(E303&lt;=0.8,"A",IF(E303&lt;=0.95,"B","C")))</f>
        <v/>
      </c>
    </row>
    <row r="304">
      <c r="A304" s="8">
        <f>IF(303&gt;COUNT('Master Inventory'!$G:$G),"",INDEX('Master Inventory'!$A:$A,MATCH(303,'Master Inventory'!$J:$J,0)))</f>
        <v/>
      </c>
      <c r="B304" s="8">
        <f>IF($A304="","",INDEX('Master Inventory'!$B:$B,MATCH($A304,'Master Inventory'!$A:$A,0)))</f>
        <v/>
      </c>
      <c r="C304" s="7">
        <f>IF($A304="","",INDEX('Master Inventory'!$G:$G,MATCH($A304,'Master Inventory'!$A:$A,0)))</f>
        <v/>
      </c>
      <c r="D304" s="7">
        <f>IF($A304="","",D303+C304)</f>
        <v/>
      </c>
      <c r="E304" s="9">
        <f>IF($A304="","",D304/SUM('Master Inventory'!$G:$G))</f>
        <v/>
      </c>
      <c r="F304" s="8">
        <f>IF($A304="","",IF(E304&lt;=0.8,"A",IF(E304&lt;=0.95,"B","C")))</f>
        <v/>
      </c>
    </row>
    <row r="305">
      <c r="A305" s="8">
        <f>IF(304&gt;COUNT('Master Inventory'!$G:$G),"",INDEX('Master Inventory'!$A:$A,MATCH(304,'Master Inventory'!$J:$J,0)))</f>
        <v/>
      </c>
      <c r="B305" s="8">
        <f>IF($A305="","",INDEX('Master Inventory'!$B:$B,MATCH($A305,'Master Inventory'!$A:$A,0)))</f>
        <v/>
      </c>
      <c r="C305" s="7">
        <f>IF($A305="","",INDEX('Master Inventory'!$G:$G,MATCH($A305,'Master Inventory'!$A:$A,0)))</f>
        <v/>
      </c>
      <c r="D305" s="7">
        <f>IF($A305="","",D304+C305)</f>
        <v/>
      </c>
      <c r="E305" s="9">
        <f>IF($A305="","",D305/SUM('Master Inventory'!$G:$G))</f>
        <v/>
      </c>
      <c r="F305" s="8">
        <f>IF($A305="","",IF(E305&lt;=0.8,"A",IF(E305&lt;=0.95,"B","C")))</f>
        <v/>
      </c>
    </row>
    <row r="306">
      <c r="A306" s="8">
        <f>IF(305&gt;COUNT('Master Inventory'!$G:$G),"",INDEX('Master Inventory'!$A:$A,MATCH(305,'Master Inventory'!$J:$J,0)))</f>
        <v/>
      </c>
      <c r="B306" s="8">
        <f>IF($A306="","",INDEX('Master Inventory'!$B:$B,MATCH($A306,'Master Inventory'!$A:$A,0)))</f>
        <v/>
      </c>
      <c r="C306" s="7">
        <f>IF($A306="","",INDEX('Master Inventory'!$G:$G,MATCH($A306,'Master Inventory'!$A:$A,0)))</f>
        <v/>
      </c>
      <c r="D306" s="7">
        <f>IF($A306="","",D305+C306)</f>
        <v/>
      </c>
      <c r="E306" s="9">
        <f>IF($A306="","",D306/SUM('Master Inventory'!$G:$G))</f>
        <v/>
      </c>
      <c r="F306" s="8">
        <f>IF($A306="","",IF(E306&lt;=0.8,"A",IF(E306&lt;=0.95,"B","C")))</f>
        <v/>
      </c>
    </row>
    <row r="307">
      <c r="A307" s="8">
        <f>IF(306&gt;COUNT('Master Inventory'!$G:$G),"",INDEX('Master Inventory'!$A:$A,MATCH(306,'Master Inventory'!$J:$J,0)))</f>
        <v/>
      </c>
      <c r="B307" s="8">
        <f>IF($A307="","",INDEX('Master Inventory'!$B:$B,MATCH($A307,'Master Inventory'!$A:$A,0)))</f>
        <v/>
      </c>
      <c r="C307" s="7">
        <f>IF($A307="","",INDEX('Master Inventory'!$G:$G,MATCH($A307,'Master Inventory'!$A:$A,0)))</f>
        <v/>
      </c>
      <c r="D307" s="7">
        <f>IF($A307="","",D306+C307)</f>
        <v/>
      </c>
      <c r="E307" s="9">
        <f>IF($A307="","",D307/SUM('Master Inventory'!$G:$G))</f>
        <v/>
      </c>
      <c r="F307" s="8">
        <f>IF($A307="","",IF(E307&lt;=0.8,"A",IF(E307&lt;=0.95,"B","C")))</f>
        <v/>
      </c>
    </row>
    <row r="308">
      <c r="A308" s="8">
        <f>IF(307&gt;COUNT('Master Inventory'!$G:$G),"",INDEX('Master Inventory'!$A:$A,MATCH(307,'Master Inventory'!$J:$J,0)))</f>
        <v/>
      </c>
      <c r="B308" s="8">
        <f>IF($A308="","",INDEX('Master Inventory'!$B:$B,MATCH($A308,'Master Inventory'!$A:$A,0)))</f>
        <v/>
      </c>
      <c r="C308" s="7">
        <f>IF($A308="","",INDEX('Master Inventory'!$G:$G,MATCH($A308,'Master Inventory'!$A:$A,0)))</f>
        <v/>
      </c>
      <c r="D308" s="7">
        <f>IF($A308="","",D307+C308)</f>
        <v/>
      </c>
      <c r="E308" s="9">
        <f>IF($A308="","",D308/SUM('Master Inventory'!$G:$G))</f>
        <v/>
      </c>
      <c r="F308" s="8">
        <f>IF($A308="","",IF(E308&lt;=0.8,"A",IF(E308&lt;=0.95,"B","C")))</f>
        <v/>
      </c>
    </row>
    <row r="309">
      <c r="A309" s="8">
        <f>IF(308&gt;COUNT('Master Inventory'!$G:$G),"",INDEX('Master Inventory'!$A:$A,MATCH(308,'Master Inventory'!$J:$J,0)))</f>
        <v/>
      </c>
      <c r="B309" s="8">
        <f>IF($A309="","",INDEX('Master Inventory'!$B:$B,MATCH($A309,'Master Inventory'!$A:$A,0)))</f>
        <v/>
      </c>
      <c r="C309" s="7">
        <f>IF($A309="","",INDEX('Master Inventory'!$G:$G,MATCH($A309,'Master Inventory'!$A:$A,0)))</f>
        <v/>
      </c>
      <c r="D309" s="7">
        <f>IF($A309="","",D308+C309)</f>
        <v/>
      </c>
      <c r="E309" s="9">
        <f>IF($A309="","",D309/SUM('Master Inventory'!$G:$G))</f>
        <v/>
      </c>
      <c r="F309" s="8">
        <f>IF($A309="","",IF(E309&lt;=0.8,"A",IF(E309&lt;=0.95,"B","C")))</f>
        <v/>
      </c>
    </row>
    <row r="310">
      <c r="A310" s="8">
        <f>IF(309&gt;COUNT('Master Inventory'!$G:$G),"",INDEX('Master Inventory'!$A:$A,MATCH(309,'Master Inventory'!$J:$J,0)))</f>
        <v/>
      </c>
      <c r="B310" s="8">
        <f>IF($A310="","",INDEX('Master Inventory'!$B:$B,MATCH($A310,'Master Inventory'!$A:$A,0)))</f>
        <v/>
      </c>
      <c r="C310" s="7">
        <f>IF($A310="","",INDEX('Master Inventory'!$G:$G,MATCH($A310,'Master Inventory'!$A:$A,0)))</f>
        <v/>
      </c>
      <c r="D310" s="7">
        <f>IF($A310="","",D309+C310)</f>
        <v/>
      </c>
      <c r="E310" s="9">
        <f>IF($A310="","",D310/SUM('Master Inventory'!$G:$G))</f>
        <v/>
      </c>
      <c r="F310" s="8">
        <f>IF($A310="","",IF(E310&lt;=0.8,"A",IF(E310&lt;=0.95,"B","C")))</f>
        <v/>
      </c>
    </row>
    <row r="311">
      <c r="A311" s="8">
        <f>IF(310&gt;COUNT('Master Inventory'!$G:$G),"",INDEX('Master Inventory'!$A:$A,MATCH(310,'Master Inventory'!$J:$J,0)))</f>
        <v/>
      </c>
      <c r="B311" s="8">
        <f>IF($A311="","",INDEX('Master Inventory'!$B:$B,MATCH($A311,'Master Inventory'!$A:$A,0)))</f>
        <v/>
      </c>
      <c r="C311" s="7">
        <f>IF($A311="","",INDEX('Master Inventory'!$G:$G,MATCH($A311,'Master Inventory'!$A:$A,0)))</f>
        <v/>
      </c>
      <c r="D311" s="7">
        <f>IF($A311="","",D310+C311)</f>
        <v/>
      </c>
      <c r="E311" s="9">
        <f>IF($A311="","",D311/SUM('Master Inventory'!$G:$G))</f>
        <v/>
      </c>
      <c r="F311" s="8">
        <f>IF($A311="","",IF(E311&lt;=0.8,"A",IF(E311&lt;=0.95,"B","C")))</f>
        <v/>
      </c>
    </row>
    <row r="312">
      <c r="A312" s="8">
        <f>IF(311&gt;COUNT('Master Inventory'!$G:$G),"",INDEX('Master Inventory'!$A:$A,MATCH(311,'Master Inventory'!$J:$J,0)))</f>
        <v/>
      </c>
      <c r="B312" s="8">
        <f>IF($A312="","",INDEX('Master Inventory'!$B:$B,MATCH($A312,'Master Inventory'!$A:$A,0)))</f>
        <v/>
      </c>
      <c r="C312" s="7">
        <f>IF($A312="","",INDEX('Master Inventory'!$G:$G,MATCH($A312,'Master Inventory'!$A:$A,0)))</f>
        <v/>
      </c>
      <c r="D312" s="7">
        <f>IF($A312="","",D311+C312)</f>
        <v/>
      </c>
      <c r="E312" s="9">
        <f>IF($A312="","",D312/SUM('Master Inventory'!$G:$G))</f>
        <v/>
      </c>
      <c r="F312" s="8">
        <f>IF($A312="","",IF(E312&lt;=0.8,"A",IF(E312&lt;=0.95,"B","C")))</f>
        <v/>
      </c>
    </row>
    <row r="313">
      <c r="A313" s="8">
        <f>IF(312&gt;COUNT('Master Inventory'!$G:$G),"",INDEX('Master Inventory'!$A:$A,MATCH(312,'Master Inventory'!$J:$J,0)))</f>
        <v/>
      </c>
      <c r="B313" s="8">
        <f>IF($A313="","",INDEX('Master Inventory'!$B:$B,MATCH($A313,'Master Inventory'!$A:$A,0)))</f>
        <v/>
      </c>
      <c r="C313" s="7">
        <f>IF($A313="","",INDEX('Master Inventory'!$G:$G,MATCH($A313,'Master Inventory'!$A:$A,0)))</f>
        <v/>
      </c>
      <c r="D313" s="7">
        <f>IF($A313="","",D312+C313)</f>
        <v/>
      </c>
      <c r="E313" s="9">
        <f>IF($A313="","",D313/SUM('Master Inventory'!$G:$G))</f>
        <v/>
      </c>
      <c r="F313" s="8">
        <f>IF($A313="","",IF(E313&lt;=0.8,"A",IF(E313&lt;=0.95,"B","C")))</f>
        <v/>
      </c>
    </row>
    <row r="314">
      <c r="A314" s="8">
        <f>IF(313&gt;COUNT('Master Inventory'!$G:$G),"",INDEX('Master Inventory'!$A:$A,MATCH(313,'Master Inventory'!$J:$J,0)))</f>
        <v/>
      </c>
      <c r="B314" s="8">
        <f>IF($A314="","",INDEX('Master Inventory'!$B:$B,MATCH($A314,'Master Inventory'!$A:$A,0)))</f>
        <v/>
      </c>
      <c r="C314" s="7">
        <f>IF($A314="","",INDEX('Master Inventory'!$G:$G,MATCH($A314,'Master Inventory'!$A:$A,0)))</f>
        <v/>
      </c>
      <c r="D314" s="7">
        <f>IF($A314="","",D313+C314)</f>
        <v/>
      </c>
      <c r="E314" s="9">
        <f>IF($A314="","",D314/SUM('Master Inventory'!$G:$G))</f>
        <v/>
      </c>
      <c r="F314" s="8">
        <f>IF($A314="","",IF(E314&lt;=0.8,"A",IF(E314&lt;=0.95,"B","C")))</f>
        <v/>
      </c>
    </row>
    <row r="315">
      <c r="A315" s="8">
        <f>IF(314&gt;COUNT('Master Inventory'!$G:$G),"",INDEX('Master Inventory'!$A:$A,MATCH(314,'Master Inventory'!$J:$J,0)))</f>
        <v/>
      </c>
      <c r="B315" s="8">
        <f>IF($A315="","",INDEX('Master Inventory'!$B:$B,MATCH($A315,'Master Inventory'!$A:$A,0)))</f>
        <v/>
      </c>
      <c r="C315" s="7">
        <f>IF($A315="","",INDEX('Master Inventory'!$G:$G,MATCH($A315,'Master Inventory'!$A:$A,0)))</f>
        <v/>
      </c>
      <c r="D315" s="7">
        <f>IF($A315="","",D314+C315)</f>
        <v/>
      </c>
      <c r="E315" s="9">
        <f>IF($A315="","",D315/SUM('Master Inventory'!$G:$G))</f>
        <v/>
      </c>
      <c r="F315" s="8">
        <f>IF($A315="","",IF(E315&lt;=0.8,"A",IF(E315&lt;=0.95,"B","C")))</f>
        <v/>
      </c>
    </row>
    <row r="316">
      <c r="A316" s="8">
        <f>IF(315&gt;COUNT('Master Inventory'!$G:$G),"",INDEX('Master Inventory'!$A:$A,MATCH(315,'Master Inventory'!$J:$J,0)))</f>
        <v/>
      </c>
      <c r="B316" s="8">
        <f>IF($A316="","",INDEX('Master Inventory'!$B:$B,MATCH($A316,'Master Inventory'!$A:$A,0)))</f>
        <v/>
      </c>
      <c r="C316" s="7">
        <f>IF($A316="","",INDEX('Master Inventory'!$G:$G,MATCH($A316,'Master Inventory'!$A:$A,0)))</f>
        <v/>
      </c>
      <c r="D316" s="7">
        <f>IF($A316="","",D315+C316)</f>
        <v/>
      </c>
      <c r="E316" s="9">
        <f>IF($A316="","",D316/SUM('Master Inventory'!$G:$G))</f>
        <v/>
      </c>
      <c r="F316" s="8">
        <f>IF($A316="","",IF(E316&lt;=0.8,"A",IF(E316&lt;=0.95,"B","C")))</f>
        <v/>
      </c>
    </row>
    <row r="317">
      <c r="A317" s="8">
        <f>IF(316&gt;COUNT('Master Inventory'!$G:$G),"",INDEX('Master Inventory'!$A:$A,MATCH(316,'Master Inventory'!$J:$J,0)))</f>
        <v/>
      </c>
      <c r="B317" s="8">
        <f>IF($A317="","",INDEX('Master Inventory'!$B:$B,MATCH($A317,'Master Inventory'!$A:$A,0)))</f>
        <v/>
      </c>
      <c r="C317" s="7">
        <f>IF($A317="","",INDEX('Master Inventory'!$G:$G,MATCH($A317,'Master Inventory'!$A:$A,0)))</f>
        <v/>
      </c>
      <c r="D317" s="7">
        <f>IF($A317="","",D316+C317)</f>
        <v/>
      </c>
      <c r="E317" s="9">
        <f>IF($A317="","",D317/SUM('Master Inventory'!$G:$G))</f>
        <v/>
      </c>
      <c r="F317" s="8">
        <f>IF($A317="","",IF(E317&lt;=0.8,"A",IF(E317&lt;=0.95,"B","C")))</f>
        <v/>
      </c>
    </row>
    <row r="318">
      <c r="A318" s="8">
        <f>IF(317&gt;COUNT('Master Inventory'!$G:$G),"",INDEX('Master Inventory'!$A:$A,MATCH(317,'Master Inventory'!$J:$J,0)))</f>
        <v/>
      </c>
      <c r="B318" s="8">
        <f>IF($A318="","",INDEX('Master Inventory'!$B:$B,MATCH($A318,'Master Inventory'!$A:$A,0)))</f>
        <v/>
      </c>
      <c r="C318" s="7">
        <f>IF($A318="","",INDEX('Master Inventory'!$G:$G,MATCH($A318,'Master Inventory'!$A:$A,0)))</f>
        <v/>
      </c>
      <c r="D318" s="7">
        <f>IF($A318="","",D317+C318)</f>
        <v/>
      </c>
      <c r="E318" s="9">
        <f>IF($A318="","",D318/SUM('Master Inventory'!$G:$G))</f>
        <v/>
      </c>
      <c r="F318" s="8">
        <f>IF($A318="","",IF(E318&lt;=0.8,"A",IF(E318&lt;=0.95,"B","C")))</f>
        <v/>
      </c>
    </row>
    <row r="319">
      <c r="A319" s="8">
        <f>IF(318&gt;COUNT('Master Inventory'!$G:$G),"",INDEX('Master Inventory'!$A:$A,MATCH(318,'Master Inventory'!$J:$J,0)))</f>
        <v/>
      </c>
      <c r="B319" s="8">
        <f>IF($A319="","",INDEX('Master Inventory'!$B:$B,MATCH($A319,'Master Inventory'!$A:$A,0)))</f>
        <v/>
      </c>
      <c r="C319" s="7">
        <f>IF($A319="","",INDEX('Master Inventory'!$G:$G,MATCH($A319,'Master Inventory'!$A:$A,0)))</f>
        <v/>
      </c>
      <c r="D319" s="7">
        <f>IF($A319="","",D318+C319)</f>
        <v/>
      </c>
      <c r="E319" s="9">
        <f>IF($A319="","",D319/SUM('Master Inventory'!$G:$G))</f>
        <v/>
      </c>
      <c r="F319" s="8">
        <f>IF($A319="","",IF(E319&lt;=0.8,"A",IF(E319&lt;=0.95,"B","C")))</f>
        <v/>
      </c>
    </row>
    <row r="320">
      <c r="A320" s="8">
        <f>IF(319&gt;COUNT('Master Inventory'!$G:$G),"",INDEX('Master Inventory'!$A:$A,MATCH(319,'Master Inventory'!$J:$J,0)))</f>
        <v/>
      </c>
      <c r="B320" s="8">
        <f>IF($A320="","",INDEX('Master Inventory'!$B:$B,MATCH($A320,'Master Inventory'!$A:$A,0)))</f>
        <v/>
      </c>
      <c r="C320" s="7">
        <f>IF($A320="","",INDEX('Master Inventory'!$G:$G,MATCH($A320,'Master Inventory'!$A:$A,0)))</f>
        <v/>
      </c>
      <c r="D320" s="7">
        <f>IF($A320="","",D319+C320)</f>
        <v/>
      </c>
      <c r="E320" s="9">
        <f>IF($A320="","",D320/SUM('Master Inventory'!$G:$G))</f>
        <v/>
      </c>
      <c r="F320" s="8">
        <f>IF($A320="","",IF(E320&lt;=0.8,"A",IF(E320&lt;=0.95,"B","C")))</f>
        <v/>
      </c>
    </row>
    <row r="321">
      <c r="A321" s="8">
        <f>IF(320&gt;COUNT('Master Inventory'!$G:$G),"",INDEX('Master Inventory'!$A:$A,MATCH(320,'Master Inventory'!$J:$J,0)))</f>
        <v/>
      </c>
      <c r="B321" s="8">
        <f>IF($A321="","",INDEX('Master Inventory'!$B:$B,MATCH($A321,'Master Inventory'!$A:$A,0)))</f>
        <v/>
      </c>
      <c r="C321" s="7">
        <f>IF($A321="","",INDEX('Master Inventory'!$G:$G,MATCH($A321,'Master Inventory'!$A:$A,0)))</f>
        <v/>
      </c>
      <c r="D321" s="7">
        <f>IF($A321="","",D320+C321)</f>
        <v/>
      </c>
      <c r="E321" s="9">
        <f>IF($A321="","",D321/SUM('Master Inventory'!$G:$G))</f>
        <v/>
      </c>
      <c r="F321" s="8">
        <f>IF($A321="","",IF(E321&lt;=0.8,"A",IF(E321&lt;=0.95,"B","C")))</f>
        <v/>
      </c>
    </row>
    <row r="322">
      <c r="A322" s="8">
        <f>IF(321&gt;COUNT('Master Inventory'!$G:$G),"",INDEX('Master Inventory'!$A:$A,MATCH(321,'Master Inventory'!$J:$J,0)))</f>
        <v/>
      </c>
      <c r="B322" s="8">
        <f>IF($A322="","",INDEX('Master Inventory'!$B:$B,MATCH($A322,'Master Inventory'!$A:$A,0)))</f>
        <v/>
      </c>
      <c r="C322" s="7">
        <f>IF($A322="","",INDEX('Master Inventory'!$G:$G,MATCH($A322,'Master Inventory'!$A:$A,0)))</f>
        <v/>
      </c>
      <c r="D322" s="7">
        <f>IF($A322="","",D321+C322)</f>
        <v/>
      </c>
      <c r="E322" s="9">
        <f>IF($A322="","",D322/SUM('Master Inventory'!$G:$G))</f>
        <v/>
      </c>
      <c r="F322" s="8">
        <f>IF($A322="","",IF(E322&lt;=0.8,"A",IF(E322&lt;=0.95,"B","C")))</f>
        <v/>
      </c>
    </row>
    <row r="323">
      <c r="A323" s="8">
        <f>IF(322&gt;COUNT('Master Inventory'!$G:$G),"",INDEX('Master Inventory'!$A:$A,MATCH(322,'Master Inventory'!$J:$J,0)))</f>
        <v/>
      </c>
      <c r="B323" s="8">
        <f>IF($A323="","",INDEX('Master Inventory'!$B:$B,MATCH($A323,'Master Inventory'!$A:$A,0)))</f>
        <v/>
      </c>
      <c r="C323" s="7">
        <f>IF($A323="","",INDEX('Master Inventory'!$G:$G,MATCH($A323,'Master Inventory'!$A:$A,0)))</f>
        <v/>
      </c>
      <c r="D323" s="7">
        <f>IF($A323="","",D322+C323)</f>
        <v/>
      </c>
      <c r="E323" s="9">
        <f>IF($A323="","",D323/SUM('Master Inventory'!$G:$G))</f>
        <v/>
      </c>
      <c r="F323" s="8">
        <f>IF($A323="","",IF(E323&lt;=0.8,"A",IF(E323&lt;=0.95,"B","C")))</f>
        <v/>
      </c>
    </row>
    <row r="324">
      <c r="A324" s="8">
        <f>IF(323&gt;COUNT('Master Inventory'!$G:$G),"",INDEX('Master Inventory'!$A:$A,MATCH(323,'Master Inventory'!$J:$J,0)))</f>
        <v/>
      </c>
      <c r="B324" s="8">
        <f>IF($A324="","",INDEX('Master Inventory'!$B:$B,MATCH($A324,'Master Inventory'!$A:$A,0)))</f>
        <v/>
      </c>
      <c r="C324" s="7">
        <f>IF($A324="","",INDEX('Master Inventory'!$G:$G,MATCH($A324,'Master Inventory'!$A:$A,0)))</f>
        <v/>
      </c>
      <c r="D324" s="7">
        <f>IF($A324="","",D323+C324)</f>
        <v/>
      </c>
      <c r="E324" s="9">
        <f>IF($A324="","",D324/SUM('Master Inventory'!$G:$G))</f>
        <v/>
      </c>
      <c r="F324" s="8">
        <f>IF($A324="","",IF(E324&lt;=0.8,"A",IF(E324&lt;=0.95,"B","C")))</f>
        <v/>
      </c>
    </row>
    <row r="325">
      <c r="A325" s="8">
        <f>IF(324&gt;COUNT('Master Inventory'!$G:$G),"",INDEX('Master Inventory'!$A:$A,MATCH(324,'Master Inventory'!$J:$J,0)))</f>
        <v/>
      </c>
      <c r="B325" s="8">
        <f>IF($A325="","",INDEX('Master Inventory'!$B:$B,MATCH($A325,'Master Inventory'!$A:$A,0)))</f>
        <v/>
      </c>
      <c r="C325" s="7">
        <f>IF($A325="","",INDEX('Master Inventory'!$G:$G,MATCH($A325,'Master Inventory'!$A:$A,0)))</f>
        <v/>
      </c>
      <c r="D325" s="7">
        <f>IF($A325="","",D324+C325)</f>
        <v/>
      </c>
      <c r="E325" s="9">
        <f>IF($A325="","",D325/SUM('Master Inventory'!$G:$G))</f>
        <v/>
      </c>
      <c r="F325" s="8">
        <f>IF($A325="","",IF(E325&lt;=0.8,"A",IF(E325&lt;=0.95,"B","C")))</f>
        <v/>
      </c>
    </row>
    <row r="326">
      <c r="A326" s="8">
        <f>IF(325&gt;COUNT('Master Inventory'!$G:$G),"",INDEX('Master Inventory'!$A:$A,MATCH(325,'Master Inventory'!$J:$J,0)))</f>
        <v/>
      </c>
      <c r="B326" s="8">
        <f>IF($A326="","",INDEX('Master Inventory'!$B:$B,MATCH($A326,'Master Inventory'!$A:$A,0)))</f>
        <v/>
      </c>
      <c r="C326" s="7">
        <f>IF($A326="","",INDEX('Master Inventory'!$G:$G,MATCH($A326,'Master Inventory'!$A:$A,0)))</f>
        <v/>
      </c>
      <c r="D326" s="7">
        <f>IF($A326="","",D325+C326)</f>
        <v/>
      </c>
      <c r="E326" s="9">
        <f>IF($A326="","",D326/SUM('Master Inventory'!$G:$G))</f>
        <v/>
      </c>
      <c r="F326" s="8">
        <f>IF($A326="","",IF(E326&lt;=0.8,"A",IF(E326&lt;=0.95,"B","C")))</f>
        <v/>
      </c>
    </row>
    <row r="327">
      <c r="A327" s="8">
        <f>IF(326&gt;COUNT('Master Inventory'!$G:$G),"",INDEX('Master Inventory'!$A:$A,MATCH(326,'Master Inventory'!$J:$J,0)))</f>
        <v/>
      </c>
      <c r="B327" s="8">
        <f>IF($A327="","",INDEX('Master Inventory'!$B:$B,MATCH($A327,'Master Inventory'!$A:$A,0)))</f>
        <v/>
      </c>
      <c r="C327" s="7">
        <f>IF($A327="","",INDEX('Master Inventory'!$G:$G,MATCH($A327,'Master Inventory'!$A:$A,0)))</f>
        <v/>
      </c>
      <c r="D327" s="7">
        <f>IF($A327="","",D326+C327)</f>
        <v/>
      </c>
      <c r="E327" s="9">
        <f>IF($A327="","",D327/SUM('Master Inventory'!$G:$G))</f>
        <v/>
      </c>
      <c r="F327" s="8">
        <f>IF($A327="","",IF(E327&lt;=0.8,"A",IF(E327&lt;=0.95,"B","C")))</f>
        <v/>
      </c>
    </row>
    <row r="328">
      <c r="A328" s="8">
        <f>IF(327&gt;COUNT('Master Inventory'!$G:$G),"",INDEX('Master Inventory'!$A:$A,MATCH(327,'Master Inventory'!$J:$J,0)))</f>
        <v/>
      </c>
      <c r="B328" s="8">
        <f>IF($A328="","",INDEX('Master Inventory'!$B:$B,MATCH($A328,'Master Inventory'!$A:$A,0)))</f>
        <v/>
      </c>
      <c r="C328" s="7">
        <f>IF($A328="","",INDEX('Master Inventory'!$G:$G,MATCH($A328,'Master Inventory'!$A:$A,0)))</f>
        <v/>
      </c>
      <c r="D328" s="7">
        <f>IF($A328="","",D327+C328)</f>
        <v/>
      </c>
      <c r="E328" s="9">
        <f>IF($A328="","",D328/SUM('Master Inventory'!$G:$G))</f>
        <v/>
      </c>
      <c r="F328" s="8">
        <f>IF($A328="","",IF(E328&lt;=0.8,"A",IF(E328&lt;=0.95,"B","C")))</f>
        <v/>
      </c>
    </row>
    <row r="329">
      <c r="A329" s="8">
        <f>IF(328&gt;COUNT('Master Inventory'!$G:$G),"",INDEX('Master Inventory'!$A:$A,MATCH(328,'Master Inventory'!$J:$J,0)))</f>
        <v/>
      </c>
      <c r="B329" s="8">
        <f>IF($A329="","",INDEX('Master Inventory'!$B:$B,MATCH($A329,'Master Inventory'!$A:$A,0)))</f>
        <v/>
      </c>
      <c r="C329" s="7">
        <f>IF($A329="","",INDEX('Master Inventory'!$G:$G,MATCH($A329,'Master Inventory'!$A:$A,0)))</f>
        <v/>
      </c>
      <c r="D329" s="7">
        <f>IF($A329="","",D328+C329)</f>
        <v/>
      </c>
      <c r="E329" s="9">
        <f>IF($A329="","",D329/SUM('Master Inventory'!$G:$G))</f>
        <v/>
      </c>
      <c r="F329" s="8">
        <f>IF($A329="","",IF(E329&lt;=0.8,"A",IF(E329&lt;=0.95,"B","C")))</f>
        <v/>
      </c>
    </row>
    <row r="330">
      <c r="A330" s="8">
        <f>IF(329&gt;COUNT('Master Inventory'!$G:$G),"",INDEX('Master Inventory'!$A:$A,MATCH(329,'Master Inventory'!$J:$J,0)))</f>
        <v/>
      </c>
      <c r="B330" s="8">
        <f>IF($A330="","",INDEX('Master Inventory'!$B:$B,MATCH($A330,'Master Inventory'!$A:$A,0)))</f>
        <v/>
      </c>
      <c r="C330" s="7">
        <f>IF($A330="","",INDEX('Master Inventory'!$G:$G,MATCH($A330,'Master Inventory'!$A:$A,0)))</f>
        <v/>
      </c>
      <c r="D330" s="7">
        <f>IF($A330="","",D329+C330)</f>
        <v/>
      </c>
      <c r="E330" s="9">
        <f>IF($A330="","",D330/SUM('Master Inventory'!$G:$G))</f>
        <v/>
      </c>
      <c r="F330" s="8">
        <f>IF($A330="","",IF(E330&lt;=0.8,"A",IF(E330&lt;=0.95,"B","C")))</f>
        <v/>
      </c>
    </row>
    <row r="331">
      <c r="A331" s="8">
        <f>IF(330&gt;COUNT('Master Inventory'!$G:$G),"",INDEX('Master Inventory'!$A:$A,MATCH(330,'Master Inventory'!$J:$J,0)))</f>
        <v/>
      </c>
      <c r="B331" s="8">
        <f>IF($A331="","",INDEX('Master Inventory'!$B:$B,MATCH($A331,'Master Inventory'!$A:$A,0)))</f>
        <v/>
      </c>
      <c r="C331" s="7">
        <f>IF($A331="","",INDEX('Master Inventory'!$G:$G,MATCH($A331,'Master Inventory'!$A:$A,0)))</f>
        <v/>
      </c>
      <c r="D331" s="7">
        <f>IF($A331="","",D330+C331)</f>
        <v/>
      </c>
      <c r="E331" s="9">
        <f>IF($A331="","",D331/SUM('Master Inventory'!$G:$G))</f>
        <v/>
      </c>
      <c r="F331" s="8">
        <f>IF($A331="","",IF(E331&lt;=0.8,"A",IF(E331&lt;=0.95,"B","C")))</f>
        <v/>
      </c>
    </row>
    <row r="332">
      <c r="A332" s="8">
        <f>IF(331&gt;COUNT('Master Inventory'!$G:$G),"",INDEX('Master Inventory'!$A:$A,MATCH(331,'Master Inventory'!$J:$J,0)))</f>
        <v/>
      </c>
      <c r="B332" s="8">
        <f>IF($A332="","",INDEX('Master Inventory'!$B:$B,MATCH($A332,'Master Inventory'!$A:$A,0)))</f>
        <v/>
      </c>
      <c r="C332" s="7">
        <f>IF($A332="","",INDEX('Master Inventory'!$G:$G,MATCH($A332,'Master Inventory'!$A:$A,0)))</f>
        <v/>
      </c>
      <c r="D332" s="7">
        <f>IF($A332="","",D331+C332)</f>
        <v/>
      </c>
      <c r="E332" s="9">
        <f>IF($A332="","",D332/SUM('Master Inventory'!$G:$G))</f>
        <v/>
      </c>
      <c r="F332" s="8">
        <f>IF($A332="","",IF(E332&lt;=0.8,"A",IF(E332&lt;=0.95,"B","C")))</f>
        <v/>
      </c>
    </row>
    <row r="333">
      <c r="A333" s="8">
        <f>IF(332&gt;COUNT('Master Inventory'!$G:$G),"",INDEX('Master Inventory'!$A:$A,MATCH(332,'Master Inventory'!$J:$J,0)))</f>
        <v/>
      </c>
      <c r="B333" s="8">
        <f>IF($A333="","",INDEX('Master Inventory'!$B:$B,MATCH($A333,'Master Inventory'!$A:$A,0)))</f>
        <v/>
      </c>
      <c r="C333" s="7">
        <f>IF($A333="","",INDEX('Master Inventory'!$G:$G,MATCH($A333,'Master Inventory'!$A:$A,0)))</f>
        <v/>
      </c>
      <c r="D333" s="7">
        <f>IF($A333="","",D332+C333)</f>
        <v/>
      </c>
      <c r="E333" s="9">
        <f>IF($A333="","",D333/SUM('Master Inventory'!$G:$G))</f>
        <v/>
      </c>
      <c r="F333" s="8">
        <f>IF($A333="","",IF(E333&lt;=0.8,"A",IF(E333&lt;=0.95,"B","C")))</f>
        <v/>
      </c>
    </row>
    <row r="334">
      <c r="A334" s="8">
        <f>IF(333&gt;COUNT('Master Inventory'!$G:$G),"",INDEX('Master Inventory'!$A:$A,MATCH(333,'Master Inventory'!$J:$J,0)))</f>
        <v/>
      </c>
      <c r="B334" s="8">
        <f>IF($A334="","",INDEX('Master Inventory'!$B:$B,MATCH($A334,'Master Inventory'!$A:$A,0)))</f>
        <v/>
      </c>
      <c r="C334" s="7">
        <f>IF($A334="","",INDEX('Master Inventory'!$G:$G,MATCH($A334,'Master Inventory'!$A:$A,0)))</f>
        <v/>
      </c>
      <c r="D334" s="7">
        <f>IF($A334="","",D333+C334)</f>
        <v/>
      </c>
      <c r="E334" s="9">
        <f>IF($A334="","",D334/SUM('Master Inventory'!$G:$G))</f>
        <v/>
      </c>
      <c r="F334" s="8">
        <f>IF($A334="","",IF(E334&lt;=0.8,"A",IF(E334&lt;=0.95,"B","C")))</f>
        <v/>
      </c>
    </row>
    <row r="335">
      <c r="A335" s="8">
        <f>IF(334&gt;COUNT('Master Inventory'!$G:$G),"",INDEX('Master Inventory'!$A:$A,MATCH(334,'Master Inventory'!$J:$J,0)))</f>
        <v/>
      </c>
      <c r="B335" s="8">
        <f>IF($A335="","",INDEX('Master Inventory'!$B:$B,MATCH($A335,'Master Inventory'!$A:$A,0)))</f>
        <v/>
      </c>
      <c r="C335" s="7">
        <f>IF($A335="","",INDEX('Master Inventory'!$G:$G,MATCH($A335,'Master Inventory'!$A:$A,0)))</f>
        <v/>
      </c>
      <c r="D335" s="7">
        <f>IF($A335="","",D334+C335)</f>
        <v/>
      </c>
      <c r="E335" s="9">
        <f>IF($A335="","",D335/SUM('Master Inventory'!$G:$G))</f>
        <v/>
      </c>
      <c r="F335" s="8">
        <f>IF($A335="","",IF(E335&lt;=0.8,"A",IF(E335&lt;=0.95,"B","C")))</f>
        <v/>
      </c>
    </row>
    <row r="336">
      <c r="A336" s="8">
        <f>IF(335&gt;COUNT('Master Inventory'!$G:$G),"",INDEX('Master Inventory'!$A:$A,MATCH(335,'Master Inventory'!$J:$J,0)))</f>
        <v/>
      </c>
      <c r="B336" s="8">
        <f>IF($A336="","",INDEX('Master Inventory'!$B:$B,MATCH($A336,'Master Inventory'!$A:$A,0)))</f>
        <v/>
      </c>
      <c r="C336" s="7">
        <f>IF($A336="","",INDEX('Master Inventory'!$G:$G,MATCH($A336,'Master Inventory'!$A:$A,0)))</f>
        <v/>
      </c>
      <c r="D336" s="7">
        <f>IF($A336="","",D335+C336)</f>
        <v/>
      </c>
      <c r="E336" s="9">
        <f>IF($A336="","",D336/SUM('Master Inventory'!$G:$G))</f>
        <v/>
      </c>
      <c r="F336" s="8">
        <f>IF($A336="","",IF(E336&lt;=0.8,"A",IF(E336&lt;=0.95,"B","C")))</f>
        <v/>
      </c>
    </row>
    <row r="337">
      <c r="A337" s="8">
        <f>IF(336&gt;COUNT('Master Inventory'!$G:$G),"",INDEX('Master Inventory'!$A:$A,MATCH(336,'Master Inventory'!$J:$J,0)))</f>
        <v/>
      </c>
      <c r="B337" s="8">
        <f>IF($A337="","",INDEX('Master Inventory'!$B:$B,MATCH($A337,'Master Inventory'!$A:$A,0)))</f>
        <v/>
      </c>
      <c r="C337" s="7">
        <f>IF($A337="","",INDEX('Master Inventory'!$G:$G,MATCH($A337,'Master Inventory'!$A:$A,0)))</f>
        <v/>
      </c>
      <c r="D337" s="7">
        <f>IF($A337="","",D336+C337)</f>
        <v/>
      </c>
      <c r="E337" s="9">
        <f>IF($A337="","",D337/SUM('Master Inventory'!$G:$G))</f>
        <v/>
      </c>
      <c r="F337" s="8">
        <f>IF($A337="","",IF(E337&lt;=0.8,"A",IF(E337&lt;=0.95,"B","C")))</f>
        <v/>
      </c>
    </row>
    <row r="338">
      <c r="A338" s="8">
        <f>IF(337&gt;COUNT('Master Inventory'!$G:$G),"",INDEX('Master Inventory'!$A:$A,MATCH(337,'Master Inventory'!$J:$J,0)))</f>
        <v/>
      </c>
      <c r="B338" s="8">
        <f>IF($A338="","",INDEX('Master Inventory'!$B:$B,MATCH($A338,'Master Inventory'!$A:$A,0)))</f>
        <v/>
      </c>
      <c r="C338" s="7">
        <f>IF($A338="","",INDEX('Master Inventory'!$G:$G,MATCH($A338,'Master Inventory'!$A:$A,0)))</f>
        <v/>
      </c>
      <c r="D338" s="7">
        <f>IF($A338="","",D337+C338)</f>
        <v/>
      </c>
      <c r="E338" s="9">
        <f>IF($A338="","",D338/SUM('Master Inventory'!$G:$G))</f>
        <v/>
      </c>
      <c r="F338" s="8">
        <f>IF($A338="","",IF(E338&lt;=0.8,"A",IF(E338&lt;=0.95,"B","C")))</f>
        <v/>
      </c>
    </row>
    <row r="339">
      <c r="A339" s="8">
        <f>IF(338&gt;COUNT('Master Inventory'!$G:$G),"",INDEX('Master Inventory'!$A:$A,MATCH(338,'Master Inventory'!$J:$J,0)))</f>
        <v/>
      </c>
      <c r="B339" s="8">
        <f>IF($A339="","",INDEX('Master Inventory'!$B:$B,MATCH($A339,'Master Inventory'!$A:$A,0)))</f>
        <v/>
      </c>
      <c r="C339" s="7">
        <f>IF($A339="","",INDEX('Master Inventory'!$G:$G,MATCH($A339,'Master Inventory'!$A:$A,0)))</f>
        <v/>
      </c>
      <c r="D339" s="7">
        <f>IF($A339="","",D338+C339)</f>
        <v/>
      </c>
      <c r="E339" s="9">
        <f>IF($A339="","",D339/SUM('Master Inventory'!$G:$G))</f>
        <v/>
      </c>
      <c r="F339" s="8">
        <f>IF($A339="","",IF(E339&lt;=0.8,"A",IF(E339&lt;=0.95,"B","C")))</f>
        <v/>
      </c>
    </row>
    <row r="340">
      <c r="A340" s="8">
        <f>IF(339&gt;COUNT('Master Inventory'!$G:$G),"",INDEX('Master Inventory'!$A:$A,MATCH(339,'Master Inventory'!$J:$J,0)))</f>
        <v/>
      </c>
      <c r="B340" s="8">
        <f>IF($A340="","",INDEX('Master Inventory'!$B:$B,MATCH($A340,'Master Inventory'!$A:$A,0)))</f>
        <v/>
      </c>
      <c r="C340" s="7">
        <f>IF($A340="","",INDEX('Master Inventory'!$G:$G,MATCH($A340,'Master Inventory'!$A:$A,0)))</f>
        <v/>
      </c>
      <c r="D340" s="7">
        <f>IF($A340="","",D339+C340)</f>
        <v/>
      </c>
      <c r="E340" s="9">
        <f>IF($A340="","",D340/SUM('Master Inventory'!$G:$G))</f>
        <v/>
      </c>
      <c r="F340" s="8">
        <f>IF($A340="","",IF(E340&lt;=0.8,"A",IF(E340&lt;=0.95,"B","C")))</f>
        <v/>
      </c>
    </row>
    <row r="341">
      <c r="A341" s="8">
        <f>IF(340&gt;COUNT('Master Inventory'!$G:$G),"",INDEX('Master Inventory'!$A:$A,MATCH(340,'Master Inventory'!$J:$J,0)))</f>
        <v/>
      </c>
      <c r="B341" s="8">
        <f>IF($A341="","",INDEX('Master Inventory'!$B:$B,MATCH($A341,'Master Inventory'!$A:$A,0)))</f>
        <v/>
      </c>
      <c r="C341" s="7">
        <f>IF($A341="","",INDEX('Master Inventory'!$G:$G,MATCH($A341,'Master Inventory'!$A:$A,0)))</f>
        <v/>
      </c>
      <c r="D341" s="7">
        <f>IF($A341="","",D340+C341)</f>
        <v/>
      </c>
      <c r="E341" s="9">
        <f>IF($A341="","",D341/SUM('Master Inventory'!$G:$G))</f>
        <v/>
      </c>
      <c r="F341" s="8">
        <f>IF($A341="","",IF(E341&lt;=0.8,"A",IF(E341&lt;=0.95,"B","C")))</f>
        <v/>
      </c>
    </row>
    <row r="342">
      <c r="A342" s="8">
        <f>IF(341&gt;COUNT('Master Inventory'!$G:$G),"",INDEX('Master Inventory'!$A:$A,MATCH(341,'Master Inventory'!$J:$J,0)))</f>
        <v/>
      </c>
      <c r="B342" s="8">
        <f>IF($A342="","",INDEX('Master Inventory'!$B:$B,MATCH($A342,'Master Inventory'!$A:$A,0)))</f>
        <v/>
      </c>
      <c r="C342" s="7">
        <f>IF($A342="","",INDEX('Master Inventory'!$G:$G,MATCH($A342,'Master Inventory'!$A:$A,0)))</f>
        <v/>
      </c>
      <c r="D342" s="7">
        <f>IF($A342="","",D341+C342)</f>
        <v/>
      </c>
      <c r="E342" s="9">
        <f>IF($A342="","",D342/SUM('Master Inventory'!$G:$G))</f>
        <v/>
      </c>
      <c r="F342" s="8">
        <f>IF($A342="","",IF(E342&lt;=0.8,"A",IF(E342&lt;=0.95,"B","C")))</f>
        <v/>
      </c>
    </row>
    <row r="343">
      <c r="A343" s="8">
        <f>IF(342&gt;COUNT('Master Inventory'!$G:$G),"",INDEX('Master Inventory'!$A:$A,MATCH(342,'Master Inventory'!$J:$J,0)))</f>
        <v/>
      </c>
      <c r="B343" s="8">
        <f>IF($A343="","",INDEX('Master Inventory'!$B:$B,MATCH($A343,'Master Inventory'!$A:$A,0)))</f>
        <v/>
      </c>
      <c r="C343" s="7">
        <f>IF($A343="","",INDEX('Master Inventory'!$G:$G,MATCH($A343,'Master Inventory'!$A:$A,0)))</f>
        <v/>
      </c>
      <c r="D343" s="7">
        <f>IF($A343="","",D342+C343)</f>
        <v/>
      </c>
      <c r="E343" s="9">
        <f>IF($A343="","",D343/SUM('Master Inventory'!$G:$G))</f>
        <v/>
      </c>
      <c r="F343" s="8">
        <f>IF($A343="","",IF(E343&lt;=0.8,"A",IF(E343&lt;=0.95,"B","C")))</f>
        <v/>
      </c>
    </row>
    <row r="344">
      <c r="A344" s="8">
        <f>IF(343&gt;COUNT('Master Inventory'!$G:$G),"",INDEX('Master Inventory'!$A:$A,MATCH(343,'Master Inventory'!$J:$J,0)))</f>
        <v/>
      </c>
      <c r="B344" s="8">
        <f>IF($A344="","",INDEX('Master Inventory'!$B:$B,MATCH($A344,'Master Inventory'!$A:$A,0)))</f>
        <v/>
      </c>
      <c r="C344" s="7">
        <f>IF($A344="","",INDEX('Master Inventory'!$G:$G,MATCH($A344,'Master Inventory'!$A:$A,0)))</f>
        <v/>
      </c>
      <c r="D344" s="7">
        <f>IF($A344="","",D343+C344)</f>
        <v/>
      </c>
      <c r="E344" s="9">
        <f>IF($A344="","",D344/SUM('Master Inventory'!$G:$G))</f>
        <v/>
      </c>
      <c r="F344" s="8">
        <f>IF($A344="","",IF(E344&lt;=0.8,"A",IF(E344&lt;=0.95,"B","C")))</f>
        <v/>
      </c>
    </row>
    <row r="345">
      <c r="A345" s="8">
        <f>IF(344&gt;COUNT('Master Inventory'!$G:$G),"",INDEX('Master Inventory'!$A:$A,MATCH(344,'Master Inventory'!$J:$J,0)))</f>
        <v/>
      </c>
      <c r="B345" s="8">
        <f>IF($A345="","",INDEX('Master Inventory'!$B:$B,MATCH($A345,'Master Inventory'!$A:$A,0)))</f>
        <v/>
      </c>
      <c r="C345" s="7">
        <f>IF($A345="","",INDEX('Master Inventory'!$G:$G,MATCH($A345,'Master Inventory'!$A:$A,0)))</f>
        <v/>
      </c>
      <c r="D345" s="7">
        <f>IF($A345="","",D344+C345)</f>
        <v/>
      </c>
      <c r="E345" s="9">
        <f>IF($A345="","",D345/SUM('Master Inventory'!$G:$G))</f>
        <v/>
      </c>
      <c r="F345" s="8">
        <f>IF($A345="","",IF(E345&lt;=0.8,"A",IF(E345&lt;=0.95,"B","C")))</f>
        <v/>
      </c>
    </row>
    <row r="346">
      <c r="A346" s="8">
        <f>IF(345&gt;COUNT('Master Inventory'!$G:$G),"",INDEX('Master Inventory'!$A:$A,MATCH(345,'Master Inventory'!$J:$J,0)))</f>
        <v/>
      </c>
      <c r="B346" s="8">
        <f>IF($A346="","",INDEX('Master Inventory'!$B:$B,MATCH($A346,'Master Inventory'!$A:$A,0)))</f>
        <v/>
      </c>
      <c r="C346" s="7">
        <f>IF($A346="","",INDEX('Master Inventory'!$G:$G,MATCH($A346,'Master Inventory'!$A:$A,0)))</f>
        <v/>
      </c>
      <c r="D346" s="7">
        <f>IF($A346="","",D345+C346)</f>
        <v/>
      </c>
      <c r="E346" s="9">
        <f>IF($A346="","",D346/SUM('Master Inventory'!$G:$G))</f>
        <v/>
      </c>
      <c r="F346" s="8">
        <f>IF($A346="","",IF(E346&lt;=0.8,"A",IF(E346&lt;=0.95,"B","C")))</f>
        <v/>
      </c>
    </row>
    <row r="347">
      <c r="A347" s="8">
        <f>IF(346&gt;COUNT('Master Inventory'!$G:$G),"",INDEX('Master Inventory'!$A:$A,MATCH(346,'Master Inventory'!$J:$J,0)))</f>
        <v/>
      </c>
      <c r="B347" s="8">
        <f>IF($A347="","",INDEX('Master Inventory'!$B:$B,MATCH($A347,'Master Inventory'!$A:$A,0)))</f>
        <v/>
      </c>
      <c r="C347" s="7">
        <f>IF($A347="","",INDEX('Master Inventory'!$G:$G,MATCH($A347,'Master Inventory'!$A:$A,0)))</f>
        <v/>
      </c>
      <c r="D347" s="7">
        <f>IF($A347="","",D346+C347)</f>
        <v/>
      </c>
      <c r="E347" s="9">
        <f>IF($A347="","",D347/SUM('Master Inventory'!$G:$G))</f>
        <v/>
      </c>
      <c r="F347" s="8">
        <f>IF($A347="","",IF(E347&lt;=0.8,"A",IF(E347&lt;=0.95,"B","C")))</f>
        <v/>
      </c>
    </row>
    <row r="348">
      <c r="A348" s="8">
        <f>IF(347&gt;COUNT('Master Inventory'!$G:$G),"",INDEX('Master Inventory'!$A:$A,MATCH(347,'Master Inventory'!$J:$J,0)))</f>
        <v/>
      </c>
      <c r="B348" s="8">
        <f>IF($A348="","",INDEX('Master Inventory'!$B:$B,MATCH($A348,'Master Inventory'!$A:$A,0)))</f>
        <v/>
      </c>
      <c r="C348" s="7">
        <f>IF($A348="","",INDEX('Master Inventory'!$G:$G,MATCH($A348,'Master Inventory'!$A:$A,0)))</f>
        <v/>
      </c>
      <c r="D348" s="7">
        <f>IF($A348="","",D347+C348)</f>
        <v/>
      </c>
      <c r="E348" s="9">
        <f>IF($A348="","",D348/SUM('Master Inventory'!$G:$G))</f>
        <v/>
      </c>
      <c r="F348" s="8">
        <f>IF($A348="","",IF(E348&lt;=0.8,"A",IF(E348&lt;=0.95,"B","C")))</f>
        <v/>
      </c>
    </row>
    <row r="349">
      <c r="A349" s="8">
        <f>IF(348&gt;COUNT('Master Inventory'!$G:$G),"",INDEX('Master Inventory'!$A:$A,MATCH(348,'Master Inventory'!$J:$J,0)))</f>
        <v/>
      </c>
      <c r="B349" s="8">
        <f>IF($A349="","",INDEX('Master Inventory'!$B:$B,MATCH($A349,'Master Inventory'!$A:$A,0)))</f>
        <v/>
      </c>
      <c r="C349" s="7">
        <f>IF($A349="","",INDEX('Master Inventory'!$G:$G,MATCH($A349,'Master Inventory'!$A:$A,0)))</f>
        <v/>
      </c>
      <c r="D349" s="7">
        <f>IF($A349="","",D348+C349)</f>
        <v/>
      </c>
      <c r="E349" s="9">
        <f>IF($A349="","",D349/SUM('Master Inventory'!$G:$G))</f>
        <v/>
      </c>
      <c r="F349" s="8">
        <f>IF($A349="","",IF(E349&lt;=0.8,"A",IF(E349&lt;=0.95,"B","C")))</f>
        <v/>
      </c>
    </row>
    <row r="350">
      <c r="A350" s="8">
        <f>IF(349&gt;COUNT('Master Inventory'!$G:$G),"",INDEX('Master Inventory'!$A:$A,MATCH(349,'Master Inventory'!$J:$J,0)))</f>
        <v/>
      </c>
      <c r="B350" s="8">
        <f>IF($A350="","",INDEX('Master Inventory'!$B:$B,MATCH($A350,'Master Inventory'!$A:$A,0)))</f>
        <v/>
      </c>
      <c r="C350" s="7">
        <f>IF($A350="","",INDEX('Master Inventory'!$G:$G,MATCH($A350,'Master Inventory'!$A:$A,0)))</f>
        <v/>
      </c>
      <c r="D350" s="7">
        <f>IF($A350="","",D349+C350)</f>
        <v/>
      </c>
      <c r="E350" s="9">
        <f>IF($A350="","",D350/SUM('Master Inventory'!$G:$G))</f>
        <v/>
      </c>
      <c r="F350" s="8">
        <f>IF($A350="","",IF(E350&lt;=0.8,"A",IF(E350&lt;=0.95,"B","C")))</f>
        <v/>
      </c>
    </row>
    <row r="351">
      <c r="A351" s="8">
        <f>IF(350&gt;COUNT('Master Inventory'!$G:$G),"",INDEX('Master Inventory'!$A:$A,MATCH(350,'Master Inventory'!$J:$J,0)))</f>
        <v/>
      </c>
      <c r="B351" s="8">
        <f>IF($A351="","",INDEX('Master Inventory'!$B:$B,MATCH($A351,'Master Inventory'!$A:$A,0)))</f>
        <v/>
      </c>
      <c r="C351" s="7">
        <f>IF($A351="","",INDEX('Master Inventory'!$G:$G,MATCH($A351,'Master Inventory'!$A:$A,0)))</f>
        <v/>
      </c>
      <c r="D351" s="7">
        <f>IF($A351="","",D350+C351)</f>
        <v/>
      </c>
      <c r="E351" s="9">
        <f>IF($A351="","",D351/SUM('Master Inventory'!$G:$G))</f>
        <v/>
      </c>
      <c r="F351" s="8">
        <f>IF($A351="","",IF(E351&lt;=0.8,"A",IF(E351&lt;=0.95,"B","C")))</f>
        <v/>
      </c>
    </row>
    <row r="352">
      <c r="A352" s="8">
        <f>IF(351&gt;COUNT('Master Inventory'!$G:$G),"",INDEX('Master Inventory'!$A:$A,MATCH(351,'Master Inventory'!$J:$J,0)))</f>
        <v/>
      </c>
      <c r="B352" s="8">
        <f>IF($A352="","",INDEX('Master Inventory'!$B:$B,MATCH($A352,'Master Inventory'!$A:$A,0)))</f>
        <v/>
      </c>
      <c r="C352" s="7">
        <f>IF($A352="","",INDEX('Master Inventory'!$G:$G,MATCH($A352,'Master Inventory'!$A:$A,0)))</f>
        <v/>
      </c>
      <c r="D352" s="7">
        <f>IF($A352="","",D351+C352)</f>
        <v/>
      </c>
      <c r="E352" s="9">
        <f>IF($A352="","",D352/SUM('Master Inventory'!$G:$G))</f>
        <v/>
      </c>
      <c r="F352" s="8">
        <f>IF($A352="","",IF(E352&lt;=0.8,"A",IF(E352&lt;=0.95,"B","C")))</f>
        <v/>
      </c>
    </row>
    <row r="353">
      <c r="A353" s="8">
        <f>IF(352&gt;COUNT('Master Inventory'!$G:$G),"",INDEX('Master Inventory'!$A:$A,MATCH(352,'Master Inventory'!$J:$J,0)))</f>
        <v/>
      </c>
      <c r="B353" s="8">
        <f>IF($A353="","",INDEX('Master Inventory'!$B:$B,MATCH($A353,'Master Inventory'!$A:$A,0)))</f>
        <v/>
      </c>
      <c r="C353" s="7">
        <f>IF($A353="","",INDEX('Master Inventory'!$G:$G,MATCH($A353,'Master Inventory'!$A:$A,0)))</f>
        <v/>
      </c>
      <c r="D353" s="7">
        <f>IF($A353="","",D352+C353)</f>
        <v/>
      </c>
      <c r="E353" s="9">
        <f>IF($A353="","",D353/SUM('Master Inventory'!$G:$G))</f>
        <v/>
      </c>
      <c r="F353" s="8">
        <f>IF($A353="","",IF(E353&lt;=0.8,"A",IF(E353&lt;=0.95,"B","C")))</f>
        <v/>
      </c>
    </row>
    <row r="354">
      <c r="A354" s="8">
        <f>IF(353&gt;COUNT('Master Inventory'!$G:$G),"",INDEX('Master Inventory'!$A:$A,MATCH(353,'Master Inventory'!$J:$J,0)))</f>
        <v/>
      </c>
      <c r="B354" s="8">
        <f>IF($A354="","",INDEX('Master Inventory'!$B:$B,MATCH($A354,'Master Inventory'!$A:$A,0)))</f>
        <v/>
      </c>
      <c r="C354" s="7">
        <f>IF($A354="","",INDEX('Master Inventory'!$G:$G,MATCH($A354,'Master Inventory'!$A:$A,0)))</f>
        <v/>
      </c>
      <c r="D354" s="7">
        <f>IF($A354="","",D353+C354)</f>
        <v/>
      </c>
      <c r="E354" s="9">
        <f>IF($A354="","",D354/SUM('Master Inventory'!$G:$G))</f>
        <v/>
      </c>
      <c r="F354" s="8">
        <f>IF($A354="","",IF(E354&lt;=0.8,"A",IF(E354&lt;=0.95,"B","C")))</f>
        <v/>
      </c>
    </row>
    <row r="355">
      <c r="A355" s="8">
        <f>IF(354&gt;COUNT('Master Inventory'!$G:$G),"",INDEX('Master Inventory'!$A:$A,MATCH(354,'Master Inventory'!$J:$J,0)))</f>
        <v/>
      </c>
      <c r="B355" s="8">
        <f>IF($A355="","",INDEX('Master Inventory'!$B:$B,MATCH($A355,'Master Inventory'!$A:$A,0)))</f>
        <v/>
      </c>
      <c r="C355" s="7">
        <f>IF($A355="","",INDEX('Master Inventory'!$G:$G,MATCH($A355,'Master Inventory'!$A:$A,0)))</f>
        <v/>
      </c>
      <c r="D355" s="7">
        <f>IF($A355="","",D354+C355)</f>
        <v/>
      </c>
      <c r="E355" s="9">
        <f>IF($A355="","",D355/SUM('Master Inventory'!$G:$G))</f>
        <v/>
      </c>
      <c r="F355" s="8">
        <f>IF($A355="","",IF(E355&lt;=0.8,"A",IF(E355&lt;=0.95,"B","C")))</f>
        <v/>
      </c>
    </row>
    <row r="356">
      <c r="A356" s="8">
        <f>IF(355&gt;COUNT('Master Inventory'!$G:$G),"",INDEX('Master Inventory'!$A:$A,MATCH(355,'Master Inventory'!$J:$J,0)))</f>
        <v/>
      </c>
      <c r="B356" s="8">
        <f>IF($A356="","",INDEX('Master Inventory'!$B:$B,MATCH($A356,'Master Inventory'!$A:$A,0)))</f>
        <v/>
      </c>
      <c r="C356" s="7">
        <f>IF($A356="","",INDEX('Master Inventory'!$G:$G,MATCH($A356,'Master Inventory'!$A:$A,0)))</f>
        <v/>
      </c>
      <c r="D356" s="7">
        <f>IF($A356="","",D355+C356)</f>
        <v/>
      </c>
      <c r="E356" s="9">
        <f>IF($A356="","",D356/SUM('Master Inventory'!$G:$G))</f>
        <v/>
      </c>
      <c r="F356" s="8">
        <f>IF($A356="","",IF(E356&lt;=0.8,"A",IF(E356&lt;=0.95,"B","C")))</f>
        <v/>
      </c>
    </row>
    <row r="357">
      <c r="A357" s="8">
        <f>IF(356&gt;COUNT('Master Inventory'!$G:$G),"",INDEX('Master Inventory'!$A:$A,MATCH(356,'Master Inventory'!$J:$J,0)))</f>
        <v/>
      </c>
      <c r="B357" s="8">
        <f>IF($A357="","",INDEX('Master Inventory'!$B:$B,MATCH($A357,'Master Inventory'!$A:$A,0)))</f>
        <v/>
      </c>
      <c r="C357" s="7">
        <f>IF($A357="","",INDEX('Master Inventory'!$G:$G,MATCH($A357,'Master Inventory'!$A:$A,0)))</f>
        <v/>
      </c>
      <c r="D357" s="7">
        <f>IF($A357="","",D356+C357)</f>
        <v/>
      </c>
      <c r="E357" s="9">
        <f>IF($A357="","",D357/SUM('Master Inventory'!$G:$G))</f>
        <v/>
      </c>
      <c r="F357" s="8">
        <f>IF($A357="","",IF(E357&lt;=0.8,"A",IF(E357&lt;=0.95,"B","C")))</f>
        <v/>
      </c>
    </row>
    <row r="358">
      <c r="A358" s="8">
        <f>IF(357&gt;COUNT('Master Inventory'!$G:$G),"",INDEX('Master Inventory'!$A:$A,MATCH(357,'Master Inventory'!$J:$J,0)))</f>
        <v/>
      </c>
      <c r="B358" s="8">
        <f>IF($A358="","",INDEX('Master Inventory'!$B:$B,MATCH($A358,'Master Inventory'!$A:$A,0)))</f>
        <v/>
      </c>
      <c r="C358" s="7">
        <f>IF($A358="","",INDEX('Master Inventory'!$G:$G,MATCH($A358,'Master Inventory'!$A:$A,0)))</f>
        <v/>
      </c>
      <c r="D358" s="7">
        <f>IF($A358="","",D357+C358)</f>
        <v/>
      </c>
      <c r="E358" s="9">
        <f>IF($A358="","",D358/SUM('Master Inventory'!$G:$G))</f>
        <v/>
      </c>
      <c r="F358" s="8">
        <f>IF($A358="","",IF(E358&lt;=0.8,"A",IF(E358&lt;=0.95,"B","C")))</f>
        <v/>
      </c>
    </row>
    <row r="359">
      <c r="A359" s="8">
        <f>IF(358&gt;COUNT('Master Inventory'!$G:$G),"",INDEX('Master Inventory'!$A:$A,MATCH(358,'Master Inventory'!$J:$J,0)))</f>
        <v/>
      </c>
      <c r="B359" s="8">
        <f>IF($A359="","",INDEX('Master Inventory'!$B:$B,MATCH($A359,'Master Inventory'!$A:$A,0)))</f>
        <v/>
      </c>
      <c r="C359" s="7">
        <f>IF($A359="","",INDEX('Master Inventory'!$G:$G,MATCH($A359,'Master Inventory'!$A:$A,0)))</f>
        <v/>
      </c>
      <c r="D359" s="7">
        <f>IF($A359="","",D358+C359)</f>
        <v/>
      </c>
      <c r="E359" s="9">
        <f>IF($A359="","",D359/SUM('Master Inventory'!$G:$G))</f>
        <v/>
      </c>
      <c r="F359" s="8">
        <f>IF($A359="","",IF(E359&lt;=0.8,"A",IF(E359&lt;=0.95,"B","C")))</f>
        <v/>
      </c>
    </row>
    <row r="360">
      <c r="A360" s="8">
        <f>IF(359&gt;COUNT('Master Inventory'!$G:$G),"",INDEX('Master Inventory'!$A:$A,MATCH(359,'Master Inventory'!$J:$J,0)))</f>
        <v/>
      </c>
      <c r="B360" s="8">
        <f>IF($A360="","",INDEX('Master Inventory'!$B:$B,MATCH($A360,'Master Inventory'!$A:$A,0)))</f>
        <v/>
      </c>
      <c r="C360" s="7">
        <f>IF($A360="","",INDEX('Master Inventory'!$G:$G,MATCH($A360,'Master Inventory'!$A:$A,0)))</f>
        <v/>
      </c>
      <c r="D360" s="7">
        <f>IF($A360="","",D359+C360)</f>
        <v/>
      </c>
      <c r="E360" s="9">
        <f>IF($A360="","",D360/SUM('Master Inventory'!$G:$G))</f>
        <v/>
      </c>
      <c r="F360" s="8">
        <f>IF($A360="","",IF(E360&lt;=0.8,"A",IF(E360&lt;=0.95,"B","C")))</f>
        <v/>
      </c>
    </row>
    <row r="361">
      <c r="A361" s="8">
        <f>IF(360&gt;COUNT('Master Inventory'!$G:$G),"",INDEX('Master Inventory'!$A:$A,MATCH(360,'Master Inventory'!$J:$J,0)))</f>
        <v/>
      </c>
      <c r="B361" s="8">
        <f>IF($A361="","",INDEX('Master Inventory'!$B:$B,MATCH($A361,'Master Inventory'!$A:$A,0)))</f>
        <v/>
      </c>
      <c r="C361" s="7">
        <f>IF($A361="","",INDEX('Master Inventory'!$G:$G,MATCH($A361,'Master Inventory'!$A:$A,0)))</f>
        <v/>
      </c>
      <c r="D361" s="7">
        <f>IF($A361="","",D360+C361)</f>
        <v/>
      </c>
      <c r="E361" s="9">
        <f>IF($A361="","",D361/SUM('Master Inventory'!$G:$G))</f>
        <v/>
      </c>
      <c r="F361" s="8">
        <f>IF($A361="","",IF(E361&lt;=0.8,"A",IF(E361&lt;=0.95,"B","C")))</f>
        <v/>
      </c>
    </row>
    <row r="362">
      <c r="A362" s="8">
        <f>IF(361&gt;COUNT('Master Inventory'!$G:$G),"",INDEX('Master Inventory'!$A:$A,MATCH(361,'Master Inventory'!$J:$J,0)))</f>
        <v/>
      </c>
      <c r="B362" s="8">
        <f>IF($A362="","",INDEX('Master Inventory'!$B:$B,MATCH($A362,'Master Inventory'!$A:$A,0)))</f>
        <v/>
      </c>
      <c r="C362" s="7">
        <f>IF($A362="","",INDEX('Master Inventory'!$G:$G,MATCH($A362,'Master Inventory'!$A:$A,0)))</f>
        <v/>
      </c>
      <c r="D362" s="7">
        <f>IF($A362="","",D361+C362)</f>
        <v/>
      </c>
      <c r="E362" s="9">
        <f>IF($A362="","",D362/SUM('Master Inventory'!$G:$G))</f>
        <v/>
      </c>
      <c r="F362" s="8">
        <f>IF($A362="","",IF(E362&lt;=0.8,"A",IF(E362&lt;=0.95,"B","C")))</f>
        <v/>
      </c>
    </row>
    <row r="363">
      <c r="A363" s="8">
        <f>IF(362&gt;COUNT('Master Inventory'!$G:$G),"",INDEX('Master Inventory'!$A:$A,MATCH(362,'Master Inventory'!$J:$J,0)))</f>
        <v/>
      </c>
      <c r="B363" s="8">
        <f>IF($A363="","",INDEX('Master Inventory'!$B:$B,MATCH($A363,'Master Inventory'!$A:$A,0)))</f>
        <v/>
      </c>
      <c r="C363" s="7">
        <f>IF($A363="","",INDEX('Master Inventory'!$G:$G,MATCH($A363,'Master Inventory'!$A:$A,0)))</f>
        <v/>
      </c>
      <c r="D363" s="7">
        <f>IF($A363="","",D362+C363)</f>
        <v/>
      </c>
      <c r="E363" s="9">
        <f>IF($A363="","",D363/SUM('Master Inventory'!$G:$G))</f>
        <v/>
      </c>
      <c r="F363" s="8">
        <f>IF($A363="","",IF(E363&lt;=0.8,"A",IF(E363&lt;=0.95,"B","C")))</f>
        <v/>
      </c>
    </row>
    <row r="364">
      <c r="A364" s="8">
        <f>IF(363&gt;COUNT('Master Inventory'!$G:$G),"",INDEX('Master Inventory'!$A:$A,MATCH(363,'Master Inventory'!$J:$J,0)))</f>
        <v/>
      </c>
      <c r="B364" s="8">
        <f>IF($A364="","",INDEX('Master Inventory'!$B:$B,MATCH($A364,'Master Inventory'!$A:$A,0)))</f>
        <v/>
      </c>
      <c r="C364" s="7">
        <f>IF($A364="","",INDEX('Master Inventory'!$G:$G,MATCH($A364,'Master Inventory'!$A:$A,0)))</f>
        <v/>
      </c>
      <c r="D364" s="7">
        <f>IF($A364="","",D363+C364)</f>
        <v/>
      </c>
      <c r="E364" s="9">
        <f>IF($A364="","",D364/SUM('Master Inventory'!$G:$G))</f>
        <v/>
      </c>
      <c r="F364" s="8">
        <f>IF($A364="","",IF(E364&lt;=0.8,"A",IF(E364&lt;=0.95,"B","C")))</f>
        <v/>
      </c>
    </row>
    <row r="365">
      <c r="A365" s="8">
        <f>IF(364&gt;COUNT('Master Inventory'!$G:$G),"",INDEX('Master Inventory'!$A:$A,MATCH(364,'Master Inventory'!$J:$J,0)))</f>
        <v/>
      </c>
      <c r="B365" s="8">
        <f>IF($A365="","",INDEX('Master Inventory'!$B:$B,MATCH($A365,'Master Inventory'!$A:$A,0)))</f>
        <v/>
      </c>
      <c r="C365" s="7">
        <f>IF($A365="","",INDEX('Master Inventory'!$G:$G,MATCH($A365,'Master Inventory'!$A:$A,0)))</f>
        <v/>
      </c>
      <c r="D365" s="7">
        <f>IF($A365="","",D364+C365)</f>
        <v/>
      </c>
      <c r="E365" s="9">
        <f>IF($A365="","",D365/SUM('Master Inventory'!$G:$G))</f>
        <v/>
      </c>
      <c r="F365" s="8">
        <f>IF($A365="","",IF(E365&lt;=0.8,"A",IF(E365&lt;=0.95,"B","C")))</f>
        <v/>
      </c>
    </row>
    <row r="366">
      <c r="A366" s="8">
        <f>IF(365&gt;COUNT('Master Inventory'!$G:$G),"",INDEX('Master Inventory'!$A:$A,MATCH(365,'Master Inventory'!$J:$J,0)))</f>
        <v/>
      </c>
      <c r="B366" s="8">
        <f>IF($A366="","",INDEX('Master Inventory'!$B:$B,MATCH($A366,'Master Inventory'!$A:$A,0)))</f>
        <v/>
      </c>
      <c r="C366" s="7">
        <f>IF($A366="","",INDEX('Master Inventory'!$G:$G,MATCH($A366,'Master Inventory'!$A:$A,0)))</f>
        <v/>
      </c>
      <c r="D366" s="7">
        <f>IF($A366="","",D365+C366)</f>
        <v/>
      </c>
      <c r="E366" s="9">
        <f>IF($A366="","",D366/SUM('Master Inventory'!$G:$G))</f>
        <v/>
      </c>
      <c r="F366" s="8">
        <f>IF($A366="","",IF(E366&lt;=0.8,"A",IF(E366&lt;=0.95,"B","C")))</f>
        <v/>
      </c>
    </row>
    <row r="367">
      <c r="A367" s="8">
        <f>IF(366&gt;COUNT('Master Inventory'!$G:$G),"",INDEX('Master Inventory'!$A:$A,MATCH(366,'Master Inventory'!$J:$J,0)))</f>
        <v/>
      </c>
      <c r="B367" s="8">
        <f>IF($A367="","",INDEX('Master Inventory'!$B:$B,MATCH($A367,'Master Inventory'!$A:$A,0)))</f>
        <v/>
      </c>
      <c r="C367" s="7">
        <f>IF($A367="","",INDEX('Master Inventory'!$G:$G,MATCH($A367,'Master Inventory'!$A:$A,0)))</f>
        <v/>
      </c>
      <c r="D367" s="7">
        <f>IF($A367="","",D366+C367)</f>
        <v/>
      </c>
      <c r="E367" s="9">
        <f>IF($A367="","",D367/SUM('Master Inventory'!$G:$G))</f>
        <v/>
      </c>
      <c r="F367" s="8">
        <f>IF($A367="","",IF(E367&lt;=0.8,"A",IF(E367&lt;=0.95,"B","C")))</f>
        <v/>
      </c>
    </row>
    <row r="368">
      <c r="A368" s="8">
        <f>IF(367&gt;COUNT('Master Inventory'!$G:$G),"",INDEX('Master Inventory'!$A:$A,MATCH(367,'Master Inventory'!$J:$J,0)))</f>
        <v/>
      </c>
      <c r="B368" s="8">
        <f>IF($A368="","",INDEX('Master Inventory'!$B:$B,MATCH($A368,'Master Inventory'!$A:$A,0)))</f>
        <v/>
      </c>
      <c r="C368" s="7">
        <f>IF($A368="","",INDEX('Master Inventory'!$G:$G,MATCH($A368,'Master Inventory'!$A:$A,0)))</f>
        <v/>
      </c>
      <c r="D368" s="7">
        <f>IF($A368="","",D367+C368)</f>
        <v/>
      </c>
      <c r="E368" s="9">
        <f>IF($A368="","",D368/SUM('Master Inventory'!$G:$G))</f>
        <v/>
      </c>
      <c r="F368" s="8">
        <f>IF($A368="","",IF(E368&lt;=0.8,"A",IF(E368&lt;=0.95,"B","C")))</f>
        <v/>
      </c>
    </row>
    <row r="369">
      <c r="A369" s="8">
        <f>IF(368&gt;COUNT('Master Inventory'!$G:$G),"",INDEX('Master Inventory'!$A:$A,MATCH(368,'Master Inventory'!$J:$J,0)))</f>
        <v/>
      </c>
      <c r="B369" s="8">
        <f>IF($A369="","",INDEX('Master Inventory'!$B:$B,MATCH($A369,'Master Inventory'!$A:$A,0)))</f>
        <v/>
      </c>
      <c r="C369" s="7">
        <f>IF($A369="","",INDEX('Master Inventory'!$G:$G,MATCH($A369,'Master Inventory'!$A:$A,0)))</f>
        <v/>
      </c>
      <c r="D369" s="7">
        <f>IF($A369="","",D368+C369)</f>
        <v/>
      </c>
      <c r="E369" s="9">
        <f>IF($A369="","",D369/SUM('Master Inventory'!$G:$G))</f>
        <v/>
      </c>
      <c r="F369" s="8">
        <f>IF($A369="","",IF(E369&lt;=0.8,"A",IF(E369&lt;=0.95,"B","C")))</f>
        <v/>
      </c>
    </row>
    <row r="370">
      <c r="A370" s="8">
        <f>IF(369&gt;COUNT('Master Inventory'!$G:$G),"",INDEX('Master Inventory'!$A:$A,MATCH(369,'Master Inventory'!$J:$J,0)))</f>
        <v/>
      </c>
      <c r="B370" s="8">
        <f>IF($A370="","",INDEX('Master Inventory'!$B:$B,MATCH($A370,'Master Inventory'!$A:$A,0)))</f>
        <v/>
      </c>
      <c r="C370" s="7">
        <f>IF($A370="","",INDEX('Master Inventory'!$G:$G,MATCH($A370,'Master Inventory'!$A:$A,0)))</f>
        <v/>
      </c>
      <c r="D370" s="7">
        <f>IF($A370="","",D369+C370)</f>
        <v/>
      </c>
      <c r="E370" s="9">
        <f>IF($A370="","",D370/SUM('Master Inventory'!$G:$G))</f>
        <v/>
      </c>
      <c r="F370" s="8">
        <f>IF($A370="","",IF(E370&lt;=0.8,"A",IF(E370&lt;=0.95,"B","C")))</f>
        <v/>
      </c>
    </row>
    <row r="371">
      <c r="A371" s="8">
        <f>IF(370&gt;COUNT('Master Inventory'!$G:$G),"",INDEX('Master Inventory'!$A:$A,MATCH(370,'Master Inventory'!$J:$J,0)))</f>
        <v/>
      </c>
      <c r="B371" s="8">
        <f>IF($A371="","",INDEX('Master Inventory'!$B:$B,MATCH($A371,'Master Inventory'!$A:$A,0)))</f>
        <v/>
      </c>
      <c r="C371" s="7">
        <f>IF($A371="","",INDEX('Master Inventory'!$G:$G,MATCH($A371,'Master Inventory'!$A:$A,0)))</f>
        <v/>
      </c>
      <c r="D371" s="7">
        <f>IF($A371="","",D370+C371)</f>
        <v/>
      </c>
      <c r="E371" s="9">
        <f>IF($A371="","",D371/SUM('Master Inventory'!$G:$G))</f>
        <v/>
      </c>
      <c r="F371" s="8">
        <f>IF($A371="","",IF(E371&lt;=0.8,"A",IF(E371&lt;=0.95,"B","C")))</f>
        <v/>
      </c>
    </row>
    <row r="372">
      <c r="A372" s="8">
        <f>IF(371&gt;COUNT('Master Inventory'!$G:$G),"",INDEX('Master Inventory'!$A:$A,MATCH(371,'Master Inventory'!$J:$J,0)))</f>
        <v/>
      </c>
      <c r="B372" s="8">
        <f>IF($A372="","",INDEX('Master Inventory'!$B:$B,MATCH($A372,'Master Inventory'!$A:$A,0)))</f>
        <v/>
      </c>
      <c r="C372" s="7">
        <f>IF($A372="","",INDEX('Master Inventory'!$G:$G,MATCH($A372,'Master Inventory'!$A:$A,0)))</f>
        <v/>
      </c>
      <c r="D372" s="7">
        <f>IF($A372="","",D371+C372)</f>
        <v/>
      </c>
      <c r="E372" s="9">
        <f>IF($A372="","",D372/SUM('Master Inventory'!$G:$G))</f>
        <v/>
      </c>
      <c r="F372" s="8">
        <f>IF($A372="","",IF(E372&lt;=0.8,"A",IF(E372&lt;=0.95,"B","C")))</f>
        <v/>
      </c>
    </row>
    <row r="373">
      <c r="A373" s="8">
        <f>IF(372&gt;COUNT('Master Inventory'!$G:$G),"",INDEX('Master Inventory'!$A:$A,MATCH(372,'Master Inventory'!$J:$J,0)))</f>
        <v/>
      </c>
      <c r="B373" s="8">
        <f>IF($A373="","",INDEX('Master Inventory'!$B:$B,MATCH($A373,'Master Inventory'!$A:$A,0)))</f>
        <v/>
      </c>
      <c r="C373" s="7">
        <f>IF($A373="","",INDEX('Master Inventory'!$G:$G,MATCH($A373,'Master Inventory'!$A:$A,0)))</f>
        <v/>
      </c>
      <c r="D373" s="7">
        <f>IF($A373="","",D372+C373)</f>
        <v/>
      </c>
      <c r="E373" s="9">
        <f>IF($A373="","",D373/SUM('Master Inventory'!$G:$G))</f>
        <v/>
      </c>
      <c r="F373" s="8">
        <f>IF($A373="","",IF(E373&lt;=0.8,"A",IF(E373&lt;=0.95,"B","C")))</f>
        <v/>
      </c>
    </row>
    <row r="374">
      <c r="A374" s="8">
        <f>IF(373&gt;COUNT('Master Inventory'!$G:$G),"",INDEX('Master Inventory'!$A:$A,MATCH(373,'Master Inventory'!$J:$J,0)))</f>
        <v/>
      </c>
      <c r="B374" s="8">
        <f>IF($A374="","",INDEX('Master Inventory'!$B:$B,MATCH($A374,'Master Inventory'!$A:$A,0)))</f>
        <v/>
      </c>
      <c r="C374" s="7">
        <f>IF($A374="","",INDEX('Master Inventory'!$G:$G,MATCH($A374,'Master Inventory'!$A:$A,0)))</f>
        <v/>
      </c>
      <c r="D374" s="7">
        <f>IF($A374="","",D373+C374)</f>
        <v/>
      </c>
      <c r="E374" s="9">
        <f>IF($A374="","",D374/SUM('Master Inventory'!$G:$G))</f>
        <v/>
      </c>
      <c r="F374" s="8">
        <f>IF($A374="","",IF(E374&lt;=0.8,"A",IF(E374&lt;=0.95,"B","C")))</f>
        <v/>
      </c>
    </row>
    <row r="375">
      <c r="A375" s="8">
        <f>IF(374&gt;COUNT('Master Inventory'!$G:$G),"",INDEX('Master Inventory'!$A:$A,MATCH(374,'Master Inventory'!$J:$J,0)))</f>
        <v/>
      </c>
      <c r="B375" s="8">
        <f>IF($A375="","",INDEX('Master Inventory'!$B:$B,MATCH($A375,'Master Inventory'!$A:$A,0)))</f>
        <v/>
      </c>
      <c r="C375" s="7">
        <f>IF($A375="","",INDEX('Master Inventory'!$G:$G,MATCH($A375,'Master Inventory'!$A:$A,0)))</f>
        <v/>
      </c>
      <c r="D375" s="7">
        <f>IF($A375="","",D374+C375)</f>
        <v/>
      </c>
      <c r="E375" s="9">
        <f>IF($A375="","",D375/SUM('Master Inventory'!$G:$G))</f>
        <v/>
      </c>
      <c r="F375" s="8">
        <f>IF($A375="","",IF(E375&lt;=0.8,"A",IF(E375&lt;=0.95,"B","C")))</f>
        <v/>
      </c>
    </row>
    <row r="376">
      <c r="A376" s="8">
        <f>IF(375&gt;COUNT('Master Inventory'!$G:$G),"",INDEX('Master Inventory'!$A:$A,MATCH(375,'Master Inventory'!$J:$J,0)))</f>
        <v/>
      </c>
      <c r="B376" s="8">
        <f>IF($A376="","",INDEX('Master Inventory'!$B:$B,MATCH($A376,'Master Inventory'!$A:$A,0)))</f>
        <v/>
      </c>
      <c r="C376" s="7">
        <f>IF($A376="","",INDEX('Master Inventory'!$G:$G,MATCH($A376,'Master Inventory'!$A:$A,0)))</f>
        <v/>
      </c>
      <c r="D376" s="7">
        <f>IF($A376="","",D375+C376)</f>
        <v/>
      </c>
      <c r="E376" s="9">
        <f>IF($A376="","",D376/SUM('Master Inventory'!$G:$G))</f>
        <v/>
      </c>
      <c r="F376" s="8">
        <f>IF($A376="","",IF(E376&lt;=0.8,"A",IF(E376&lt;=0.95,"B","C")))</f>
        <v/>
      </c>
    </row>
    <row r="377">
      <c r="A377" s="8">
        <f>IF(376&gt;COUNT('Master Inventory'!$G:$G),"",INDEX('Master Inventory'!$A:$A,MATCH(376,'Master Inventory'!$J:$J,0)))</f>
        <v/>
      </c>
      <c r="B377" s="8">
        <f>IF($A377="","",INDEX('Master Inventory'!$B:$B,MATCH($A377,'Master Inventory'!$A:$A,0)))</f>
        <v/>
      </c>
      <c r="C377" s="7">
        <f>IF($A377="","",INDEX('Master Inventory'!$G:$G,MATCH($A377,'Master Inventory'!$A:$A,0)))</f>
        <v/>
      </c>
      <c r="D377" s="7">
        <f>IF($A377="","",D376+C377)</f>
        <v/>
      </c>
      <c r="E377" s="9">
        <f>IF($A377="","",D377/SUM('Master Inventory'!$G:$G))</f>
        <v/>
      </c>
      <c r="F377" s="8">
        <f>IF($A377="","",IF(E377&lt;=0.8,"A",IF(E377&lt;=0.95,"B","C")))</f>
        <v/>
      </c>
    </row>
    <row r="378">
      <c r="A378" s="8">
        <f>IF(377&gt;COUNT('Master Inventory'!$G:$G),"",INDEX('Master Inventory'!$A:$A,MATCH(377,'Master Inventory'!$J:$J,0)))</f>
        <v/>
      </c>
      <c r="B378" s="8">
        <f>IF($A378="","",INDEX('Master Inventory'!$B:$B,MATCH($A378,'Master Inventory'!$A:$A,0)))</f>
        <v/>
      </c>
      <c r="C378" s="7">
        <f>IF($A378="","",INDEX('Master Inventory'!$G:$G,MATCH($A378,'Master Inventory'!$A:$A,0)))</f>
        <v/>
      </c>
      <c r="D378" s="7">
        <f>IF($A378="","",D377+C378)</f>
        <v/>
      </c>
      <c r="E378" s="9">
        <f>IF($A378="","",D378/SUM('Master Inventory'!$G:$G))</f>
        <v/>
      </c>
      <c r="F378" s="8">
        <f>IF($A378="","",IF(E378&lt;=0.8,"A",IF(E378&lt;=0.95,"B","C")))</f>
        <v/>
      </c>
    </row>
    <row r="379">
      <c r="A379" s="8">
        <f>IF(378&gt;COUNT('Master Inventory'!$G:$G),"",INDEX('Master Inventory'!$A:$A,MATCH(378,'Master Inventory'!$J:$J,0)))</f>
        <v/>
      </c>
      <c r="B379" s="8">
        <f>IF($A379="","",INDEX('Master Inventory'!$B:$B,MATCH($A379,'Master Inventory'!$A:$A,0)))</f>
        <v/>
      </c>
      <c r="C379" s="7">
        <f>IF($A379="","",INDEX('Master Inventory'!$G:$G,MATCH($A379,'Master Inventory'!$A:$A,0)))</f>
        <v/>
      </c>
      <c r="D379" s="7">
        <f>IF($A379="","",D378+C379)</f>
        <v/>
      </c>
      <c r="E379" s="9">
        <f>IF($A379="","",D379/SUM('Master Inventory'!$G:$G))</f>
        <v/>
      </c>
      <c r="F379" s="8">
        <f>IF($A379="","",IF(E379&lt;=0.8,"A",IF(E379&lt;=0.95,"B","C")))</f>
        <v/>
      </c>
    </row>
    <row r="380">
      <c r="A380" s="8">
        <f>IF(379&gt;COUNT('Master Inventory'!$G:$G),"",INDEX('Master Inventory'!$A:$A,MATCH(379,'Master Inventory'!$J:$J,0)))</f>
        <v/>
      </c>
      <c r="B380" s="8">
        <f>IF($A380="","",INDEX('Master Inventory'!$B:$B,MATCH($A380,'Master Inventory'!$A:$A,0)))</f>
        <v/>
      </c>
      <c r="C380" s="7">
        <f>IF($A380="","",INDEX('Master Inventory'!$G:$G,MATCH($A380,'Master Inventory'!$A:$A,0)))</f>
        <v/>
      </c>
      <c r="D380" s="7">
        <f>IF($A380="","",D379+C380)</f>
        <v/>
      </c>
      <c r="E380" s="9">
        <f>IF($A380="","",D380/SUM('Master Inventory'!$G:$G))</f>
        <v/>
      </c>
      <c r="F380" s="8">
        <f>IF($A380="","",IF(E380&lt;=0.8,"A",IF(E380&lt;=0.95,"B","C")))</f>
        <v/>
      </c>
    </row>
    <row r="381">
      <c r="A381" s="8">
        <f>IF(380&gt;COUNT('Master Inventory'!$G:$G),"",INDEX('Master Inventory'!$A:$A,MATCH(380,'Master Inventory'!$J:$J,0)))</f>
        <v/>
      </c>
      <c r="B381" s="8">
        <f>IF($A381="","",INDEX('Master Inventory'!$B:$B,MATCH($A381,'Master Inventory'!$A:$A,0)))</f>
        <v/>
      </c>
      <c r="C381" s="7">
        <f>IF($A381="","",INDEX('Master Inventory'!$G:$G,MATCH($A381,'Master Inventory'!$A:$A,0)))</f>
        <v/>
      </c>
      <c r="D381" s="7">
        <f>IF($A381="","",D380+C381)</f>
        <v/>
      </c>
      <c r="E381" s="9">
        <f>IF($A381="","",D381/SUM('Master Inventory'!$G:$G))</f>
        <v/>
      </c>
      <c r="F381" s="8">
        <f>IF($A381="","",IF(E381&lt;=0.8,"A",IF(E381&lt;=0.95,"B","C")))</f>
        <v/>
      </c>
    </row>
    <row r="382">
      <c r="A382" s="8">
        <f>IF(381&gt;COUNT('Master Inventory'!$G:$G),"",INDEX('Master Inventory'!$A:$A,MATCH(381,'Master Inventory'!$J:$J,0)))</f>
        <v/>
      </c>
      <c r="B382" s="8">
        <f>IF($A382="","",INDEX('Master Inventory'!$B:$B,MATCH($A382,'Master Inventory'!$A:$A,0)))</f>
        <v/>
      </c>
      <c r="C382" s="7">
        <f>IF($A382="","",INDEX('Master Inventory'!$G:$G,MATCH($A382,'Master Inventory'!$A:$A,0)))</f>
        <v/>
      </c>
      <c r="D382" s="7">
        <f>IF($A382="","",D381+C382)</f>
        <v/>
      </c>
      <c r="E382" s="9">
        <f>IF($A382="","",D382/SUM('Master Inventory'!$G:$G))</f>
        <v/>
      </c>
      <c r="F382" s="8">
        <f>IF($A382="","",IF(E382&lt;=0.8,"A",IF(E382&lt;=0.95,"B","C")))</f>
        <v/>
      </c>
    </row>
    <row r="383">
      <c r="A383" s="8">
        <f>IF(382&gt;COUNT('Master Inventory'!$G:$G),"",INDEX('Master Inventory'!$A:$A,MATCH(382,'Master Inventory'!$J:$J,0)))</f>
        <v/>
      </c>
      <c r="B383" s="8">
        <f>IF($A383="","",INDEX('Master Inventory'!$B:$B,MATCH($A383,'Master Inventory'!$A:$A,0)))</f>
        <v/>
      </c>
      <c r="C383" s="7">
        <f>IF($A383="","",INDEX('Master Inventory'!$G:$G,MATCH($A383,'Master Inventory'!$A:$A,0)))</f>
        <v/>
      </c>
      <c r="D383" s="7">
        <f>IF($A383="","",D382+C383)</f>
        <v/>
      </c>
      <c r="E383" s="9">
        <f>IF($A383="","",D383/SUM('Master Inventory'!$G:$G))</f>
        <v/>
      </c>
      <c r="F383" s="8">
        <f>IF($A383="","",IF(E383&lt;=0.8,"A",IF(E383&lt;=0.95,"B","C")))</f>
        <v/>
      </c>
    </row>
    <row r="384">
      <c r="A384" s="8">
        <f>IF(383&gt;COUNT('Master Inventory'!$G:$G),"",INDEX('Master Inventory'!$A:$A,MATCH(383,'Master Inventory'!$J:$J,0)))</f>
        <v/>
      </c>
      <c r="B384" s="8">
        <f>IF($A384="","",INDEX('Master Inventory'!$B:$B,MATCH($A384,'Master Inventory'!$A:$A,0)))</f>
        <v/>
      </c>
      <c r="C384" s="7">
        <f>IF($A384="","",INDEX('Master Inventory'!$G:$G,MATCH($A384,'Master Inventory'!$A:$A,0)))</f>
        <v/>
      </c>
      <c r="D384" s="7">
        <f>IF($A384="","",D383+C384)</f>
        <v/>
      </c>
      <c r="E384" s="9">
        <f>IF($A384="","",D384/SUM('Master Inventory'!$G:$G))</f>
        <v/>
      </c>
      <c r="F384" s="8">
        <f>IF($A384="","",IF(E384&lt;=0.8,"A",IF(E384&lt;=0.95,"B","C")))</f>
        <v/>
      </c>
    </row>
    <row r="385">
      <c r="A385" s="8">
        <f>IF(384&gt;COUNT('Master Inventory'!$G:$G),"",INDEX('Master Inventory'!$A:$A,MATCH(384,'Master Inventory'!$J:$J,0)))</f>
        <v/>
      </c>
      <c r="B385" s="8">
        <f>IF($A385="","",INDEX('Master Inventory'!$B:$B,MATCH($A385,'Master Inventory'!$A:$A,0)))</f>
        <v/>
      </c>
      <c r="C385" s="7">
        <f>IF($A385="","",INDEX('Master Inventory'!$G:$G,MATCH($A385,'Master Inventory'!$A:$A,0)))</f>
        <v/>
      </c>
      <c r="D385" s="7">
        <f>IF($A385="","",D384+C385)</f>
        <v/>
      </c>
      <c r="E385" s="9">
        <f>IF($A385="","",D385/SUM('Master Inventory'!$G:$G))</f>
        <v/>
      </c>
      <c r="F385" s="8">
        <f>IF($A385="","",IF(E385&lt;=0.8,"A",IF(E385&lt;=0.95,"B","C")))</f>
        <v/>
      </c>
    </row>
    <row r="386">
      <c r="A386" s="8">
        <f>IF(385&gt;COUNT('Master Inventory'!$G:$G),"",INDEX('Master Inventory'!$A:$A,MATCH(385,'Master Inventory'!$J:$J,0)))</f>
        <v/>
      </c>
      <c r="B386" s="8">
        <f>IF($A386="","",INDEX('Master Inventory'!$B:$B,MATCH($A386,'Master Inventory'!$A:$A,0)))</f>
        <v/>
      </c>
      <c r="C386" s="7">
        <f>IF($A386="","",INDEX('Master Inventory'!$G:$G,MATCH($A386,'Master Inventory'!$A:$A,0)))</f>
        <v/>
      </c>
      <c r="D386" s="7">
        <f>IF($A386="","",D385+C386)</f>
        <v/>
      </c>
      <c r="E386" s="9">
        <f>IF($A386="","",D386/SUM('Master Inventory'!$G:$G))</f>
        <v/>
      </c>
      <c r="F386" s="8">
        <f>IF($A386="","",IF(E386&lt;=0.8,"A",IF(E386&lt;=0.95,"B","C")))</f>
        <v/>
      </c>
    </row>
    <row r="387">
      <c r="A387" s="8">
        <f>IF(386&gt;COUNT('Master Inventory'!$G:$G),"",INDEX('Master Inventory'!$A:$A,MATCH(386,'Master Inventory'!$J:$J,0)))</f>
        <v/>
      </c>
      <c r="B387" s="8">
        <f>IF($A387="","",INDEX('Master Inventory'!$B:$B,MATCH($A387,'Master Inventory'!$A:$A,0)))</f>
        <v/>
      </c>
      <c r="C387" s="7">
        <f>IF($A387="","",INDEX('Master Inventory'!$G:$G,MATCH($A387,'Master Inventory'!$A:$A,0)))</f>
        <v/>
      </c>
      <c r="D387" s="7">
        <f>IF($A387="","",D386+C387)</f>
        <v/>
      </c>
      <c r="E387" s="9">
        <f>IF($A387="","",D387/SUM('Master Inventory'!$G:$G))</f>
        <v/>
      </c>
      <c r="F387" s="8">
        <f>IF($A387="","",IF(E387&lt;=0.8,"A",IF(E387&lt;=0.95,"B","C")))</f>
        <v/>
      </c>
    </row>
    <row r="388">
      <c r="A388" s="8">
        <f>IF(387&gt;COUNT('Master Inventory'!$G:$G),"",INDEX('Master Inventory'!$A:$A,MATCH(387,'Master Inventory'!$J:$J,0)))</f>
        <v/>
      </c>
      <c r="B388" s="8">
        <f>IF($A388="","",INDEX('Master Inventory'!$B:$B,MATCH($A388,'Master Inventory'!$A:$A,0)))</f>
        <v/>
      </c>
      <c r="C388" s="7">
        <f>IF($A388="","",INDEX('Master Inventory'!$G:$G,MATCH($A388,'Master Inventory'!$A:$A,0)))</f>
        <v/>
      </c>
      <c r="D388" s="7">
        <f>IF($A388="","",D387+C388)</f>
        <v/>
      </c>
      <c r="E388" s="9">
        <f>IF($A388="","",D388/SUM('Master Inventory'!$G:$G))</f>
        <v/>
      </c>
      <c r="F388" s="8">
        <f>IF($A388="","",IF(E388&lt;=0.8,"A",IF(E388&lt;=0.95,"B","C")))</f>
        <v/>
      </c>
    </row>
    <row r="389">
      <c r="A389" s="8">
        <f>IF(388&gt;COUNT('Master Inventory'!$G:$G),"",INDEX('Master Inventory'!$A:$A,MATCH(388,'Master Inventory'!$J:$J,0)))</f>
        <v/>
      </c>
      <c r="B389" s="8">
        <f>IF($A389="","",INDEX('Master Inventory'!$B:$B,MATCH($A389,'Master Inventory'!$A:$A,0)))</f>
        <v/>
      </c>
      <c r="C389" s="7">
        <f>IF($A389="","",INDEX('Master Inventory'!$G:$G,MATCH($A389,'Master Inventory'!$A:$A,0)))</f>
        <v/>
      </c>
      <c r="D389" s="7">
        <f>IF($A389="","",D388+C389)</f>
        <v/>
      </c>
      <c r="E389" s="9">
        <f>IF($A389="","",D389/SUM('Master Inventory'!$G:$G))</f>
        <v/>
      </c>
      <c r="F389" s="8">
        <f>IF($A389="","",IF(E389&lt;=0.8,"A",IF(E389&lt;=0.95,"B","C")))</f>
        <v/>
      </c>
    </row>
    <row r="390">
      <c r="A390" s="8">
        <f>IF(389&gt;COUNT('Master Inventory'!$G:$G),"",INDEX('Master Inventory'!$A:$A,MATCH(389,'Master Inventory'!$J:$J,0)))</f>
        <v/>
      </c>
      <c r="B390" s="8">
        <f>IF($A390="","",INDEX('Master Inventory'!$B:$B,MATCH($A390,'Master Inventory'!$A:$A,0)))</f>
        <v/>
      </c>
      <c r="C390" s="7">
        <f>IF($A390="","",INDEX('Master Inventory'!$G:$G,MATCH($A390,'Master Inventory'!$A:$A,0)))</f>
        <v/>
      </c>
      <c r="D390" s="7">
        <f>IF($A390="","",D389+C390)</f>
        <v/>
      </c>
      <c r="E390" s="9">
        <f>IF($A390="","",D390/SUM('Master Inventory'!$G:$G))</f>
        <v/>
      </c>
      <c r="F390" s="8">
        <f>IF($A390="","",IF(E390&lt;=0.8,"A",IF(E390&lt;=0.95,"B","C")))</f>
        <v/>
      </c>
    </row>
    <row r="391">
      <c r="A391" s="8">
        <f>IF(390&gt;COUNT('Master Inventory'!$G:$G),"",INDEX('Master Inventory'!$A:$A,MATCH(390,'Master Inventory'!$J:$J,0)))</f>
        <v/>
      </c>
      <c r="B391" s="8">
        <f>IF($A391="","",INDEX('Master Inventory'!$B:$B,MATCH($A391,'Master Inventory'!$A:$A,0)))</f>
        <v/>
      </c>
      <c r="C391" s="7">
        <f>IF($A391="","",INDEX('Master Inventory'!$G:$G,MATCH($A391,'Master Inventory'!$A:$A,0)))</f>
        <v/>
      </c>
      <c r="D391" s="7">
        <f>IF($A391="","",D390+C391)</f>
        <v/>
      </c>
      <c r="E391" s="9">
        <f>IF($A391="","",D391/SUM('Master Inventory'!$G:$G))</f>
        <v/>
      </c>
      <c r="F391" s="8">
        <f>IF($A391="","",IF(E391&lt;=0.8,"A",IF(E391&lt;=0.95,"B","C")))</f>
        <v/>
      </c>
    </row>
    <row r="392">
      <c r="A392" s="8">
        <f>IF(391&gt;COUNT('Master Inventory'!$G:$G),"",INDEX('Master Inventory'!$A:$A,MATCH(391,'Master Inventory'!$J:$J,0)))</f>
        <v/>
      </c>
      <c r="B392" s="8">
        <f>IF($A392="","",INDEX('Master Inventory'!$B:$B,MATCH($A392,'Master Inventory'!$A:$A,0)))</f>
        <v/>
      </c>
      <c r="C392" s="7">
        <f>IF($A392="","",INDEX('Master Inventory'!$G:$G,MATCH($A392,'Master Inventory'!$A:$A,0)))</f>
        <v/>
      </c>
      <c r="D392" s="7">
        <f>IF($A392="","",D391+C392)</f>
        <v/>
      </c>
      <c r="E392" s="9">
        <f>IF($A392="","",D392/SUM('Master Inventory'!$G:$G))</f>
        <v/>
      </c>
      <c r="F392" s="8">
        <f>IF($A392="","",IF(E392&lt;=0.8,"A",IF(E392&lt;=0.95,"B","C")))</f>
        <v/>
      </c>
    </row>
    <row r="393">
      <c r="A393" s="8">
        <f>IF(392&gt;COUNT('Master Inventory'!$G:$G),"",INDEX('Master Inventory'!$A:$A,MATCH(392,'Master Inventory'!$J:$J,0)))</f>
        <v/>
      </c>
      <c r="B393" s="8">
        <f>IF($A393="","",INDEX('Master Inventory'!$B:$B,MATCH($A393,'Master Inventory'!$A:$A,0)))</f>
        <v/>
      </c>
      <c r="C393" s="7">
        <f>IF($A393="","",INDEX('Master Inventory'!$G:$G,MATCH($A393,'Master Inventory'!$A:$A,0)))</f>
        <v/>
      </c>
      <c r="D393" s="7">
        <f>IF($A393="","",D392+C393)</f>
        <v/>
      </c>
      <c r="E393" s="9">
        <f>IF($A393="","",D393/SUM('Master Inventory'!$G:$G))</f>
        <v/>
      </c>
      <c r="F393" s="8">
        <f>IF($A393="","",IF(E393&lt;=0.8,"A",IF(E393&lt;=0.95,"B","C")))</f>
        <v/>
      </c>
    </row>
    <row r="394">
      <c r="A394" s="8">
        <f>IF(393&gt;COUNT('Master Inventory'!$G:$G),"",INDEX('Master Inventory'!$A:$A,MATCH(393,'Master Inventory'!$J:$J,0)))</f>
        <v/>
      </c>
      <c r="B394" s="8">
        <f>IF($A394="","",INDEX('Master Inventory'!$B:$B,MATCH($A394,'Master Inventory'!$A:$A,0)))</f>
        <v/>
      </c>
      <c r="C394" s="7">
        <f>IF($A394="","",INDEX('Master Inventory'!$G:$G,MATCH($A394,'Master Inventory'!$A:$A,0)))</f>
        <v/>
      </c>
      <c r="D394" s="7">
        <f>IF($A394="","",D393+C394)</f>
        <v/>
      </c>
      <c r="E394" s="9">
        <f>IF($A394="","",D394/SUM('Master Inventory'!$G:$G))</f>
        <v/>
      </c>
      <c r="F394" s="8">
        <f>IF($A394="","",IF(E394&lt;=0.8,"A",IF(E394&lt;=0.95,"B","C")))</f>
        <v/>
      </c>
    </row>
    <row r="395">
      <c r="A395" s="8">
        <f>IF(394&gt;COUNT('Master Inventory'!$G:$G),"",INDEX('Master Inventory'!$A:$A,MATCH(394,'Master Inventory'!$J:$J,0)))</f>
        <v/>
      </c>
      <c r="B395" s="8">
        <f>IF($A395="","",INDEX('Master Inventory'!$B:$B,MATCH($A395,'Master Inventory'!$A:$A,0)))</f>
        <v/>
      </c>
      <c r="C395" s="7">
        <f>IF($A395="","",INDEX('Master Inventory'!$G:$G,MATCH($A395,'Master Inventory'!$A:$A,0)))</f>
        <v/>
      </c>
      <c r="D395" s="7">
        <f>IF($A395="","",D394+C395)</f>
        <v/>
      </c>
      <c r="E395" s="9">
        <f>IF($A395="","",D395/SUM('Master Inventory'!$G:$G))</f>
        <v/>
      </c>
      <c r="F395" s="8">
        <f>IF($A395="","",IF(E395&lt;=0.8,"A",IF(E395&lt;=0.95,"B","C")))</f>
        <v/>
      </c>
    </row>
    <row r="396">
      <c r="A396" s="8">
        <f>IF(395&gt;COUNT('Master Inventory'!$G:$G),"",INDEX('Master Inventory'!$A:$A,MATCH(395,'Master Inventory'!$J:$J,0)))</f>
        <v/>
      </c>
      <c r="B396" s="8">
        <f>IF($A396="","",INDEX('Master Inventory'!$B:$B,MATCH($A396,'Master Inventory'!$A:$A,0)))</f>
        <v/>
      </c>
      <c r="C396" s="7">
        <f>IF($A396="","",INDEX('Master Inventory'!$G:$G,MATCH($A396,'Master Inventory'!$A:$A,0)))</f>
        <v/>
      </c>
      <c r="D396" s="7">
        <f>IF($A396="","",D395+C396)</f>
        <v/>
      </c>
      <c r="E396" s="9">
        <f>IF($A396="","",D396/SUM('Master Inventory'!$G:$G))</f>
        <v/>
      </c>
      <c r="F396" s="8">
        <f>IF($A396="","",IF(E396&lt;=0.8,"A",IF(E396&lt;=0.95,"B","C")))</f>
        <v/>
      </c>
    </row>
    <row r="397">
      <c r="A397" s="8">
        <f>IF(396&gt;COUNT('Master Inventory'!$G:$G),"",INDEX('Master Inventory'!$A:$A,MATCH(396,'Master Inventory'!$J:$J,0)))</f>
        <v/>
      </c>
      <c r="B397" s="8">
        <f>IF($A397="","",INDEX('Master Inventory'!$B:$B,MATCH($A397,'Master Inventory'!$A:$A,0)))</f>
        <v/>
      </c>
      <c r="C397" s="7">
        <f>IF($A397="","",INDEX('Master Inventory'!$G:$G,MATCH($A397,'Master Inventory'!$A:$A,0)))</f>
        <v/>
      </c>
      <c r="D397" s="7">
        <f>IF($A397="","",D396+C397)</f>
        <v/>
      </c>
      <c r="E397" s="9">
        <f>IF($A397="","",D397/SUM('Master Inventory'!$G:$G))</f>
        <v/>
      </c>
      <c r="F397" s="8">
        <f>IF($A397="","",IF(E397&lt;=0.8,"A",IF(E397&lt;=0.95,"B","C")))</f>
        <v/>
      </c>
    </row>
    <row r="398">
      <c r="A398" s="8">
        <f>IF(397&gt;COUNT('Master Inventory'!$G:$G),"",INDEX('Master Inventory'!$A:$A,MATCH(397,'Master Inventory'!$J:$J,0)))</f>
        <v/>
      </c>
      <c r="B398" s="8">
        <f>IF($A398="","",INDEX('Master Inventory'!$B:$B,MATCH($A398,'Master Inventory'!$A:$A,0)))</f>
        <v/>
      </c>
      <c r="C398" s="7">
        <f>IF($A398="","",INDEX('Master Inventory'!$G:$G,MATCH($A398,'Master Inventory'!$A:$A,0)))</f>
        <v/>
      </c>
      <c r="D398" s="7">
        <f>IF($A398="","",D397+C398)</f>
        <v/>
      </c>
      <c r="E398" s="9">
        <f>IF($A398="","",D398/SUM('Master Inventory'!$G:$G))</f>
        <v/>
      </c>
      <c r="F398" s="8">
        <f>IF($A398="","",IF(E398&lt;=0.8,"A",IF(E398&lt;=0.95,"B","C")))</f>
        <v/>
      </c>
    </row>
    <row r="399">
      <c r="A399" s="8">
        <f>IF(398&gt;COUNT('Master Inventory'!$G:$G),"",INDEX('Master Inventory'!$A:$A,MATCH(398,'Master Inventory'!$J:$J,0)))</f>
        <v/>
      </c>
      <c r="B399" s="8">
        <f>IF($A399="","",INDEX('Master Inventory'!$B:$B,MATCH($A399,'Master Inventory'!$A:$A,0)))</f>
        <v/>
      </c>
      <c r="C399" s="7">
        <f>IF($A399="","",INDEX('Master Inventory'!$G:$G,MATCH($A399,'Master Inventory'!$A:$A,0)))</f>
        <v/>
      </c>
      <c r="D399" s="7">
        <f>IF($A399="","",D398+C399)</f>
        <v/>
      </c>
      <c r="E399" s="9">
        <f>IF($A399="","",D399/SUM('Master Inventory'!$G:$G))</f>
        <v/>
      </c>
      <c r="F399" s="8">
        <f>IF($A399="","",IF(E399&lt;=0.8,"A",IF(E399&lt;=0.95,"B","C")))</f>
        <v/>
      </c>
    </row>
    <row r="400">
      <c r="A400" s="8">
        <f>IF(399&gt;COUNT('Master Inventory'!$G:$G),"",INDEX('Master Inventory'!$A:$A,MATCH(399,'Master Inventory'!$J:$J,0)))</f>
        <v/>
      </c>
      <c r="B400" s="8">
        <f>IF($A400="","",INDEX('Master Inventory'!$B:$B,MATCH($A400,'Master Inventory'!$A:$A,0)))</f>
        <v/>
      </c>
      <c r="C400" s="7">
        <f>IF($A400="","",INDEX('Master Inventory'!$G:$G,MATCH($A400,'Master Inventory'!$A:$A,0)))</f>
        <v/>
      </c>
      <c r="D400" s="7">
        <f>IF($A400="","",D399+C400)</f>
        <v/>
      </c>
      <c r="E400" s="9">
        <f>IF($A400="","",D400/SUM('Master Inventory'!$G:$G))</f>
        <v/>
      </c>
      <c r="F400" s="8">
        <f>IF($A400="","",IF(E400&lt;=0.8,"A",IF(E400&lt;=0.95,"B","C")))</f>
        <v/>
      </c>
    </row>
    <row r="401">
      <c r="A401" s="8">
        <f>IF(400&gt;COUNT('Master Inventory'!$G:$G),"",INDEX('Master Inventory'!$A:$A,MATCH(400,'Master Inventory'!$J:$J,0)))</f>
        <v/>
      </c>
      <c r="B401" s="8">
        <f>IF($A401="","",INDEX('Master Inventory'!$B:$B,MATCH($A401,'Master Inventory'!$A:$A,0)))</f>
        <v/>
      </c>
      <c r="C401" s="7">
        <f>IF($A401="","",INDEX('Master Inventory'!$G:$G,MATCH($A401,'Master Inventory'!$A:$A,0)))</f>
        <v/>
      </c>
      <c r="D401" s="7">
        <f>IF($A401="","",D400+C401)</f>
        <v/>
      </c>
      <c r="E401" s="9">
        <f>IF($A401="","",D401/SUM('Master Inventory'!$G:$G))</f>
        <v/>
      </c>
      <c r="F401" s="8">
        <f>IF($A401="","",IF(E401&lt;=0.8,"A",IF(E401&lt;=0.95,"B","C")))</f>
        <v/>
      </c>
    </row>
    <row r="402">
      <c r="A402" s="8">
        <f>IF(401&gt;COUNT('Master Inventory'!$G:$G),"",INDEX('Master Inventory'!$A:$A,MATCH(401,'Master Inventory'!$J:$J,0)))</f>
        <v/>
      </c>
      <c r="B402" s="8">
        <f>IF($A402="","",INDEX('Master Inventory'!$B:$B,MATCH($A402,'Master Inventory'!$A:$A,0)))</f>
        <v/>
      </c>
      <c r="C402" s="7">
        <f>IF($A402="","",INDEX('Master Inventory'!$G:$G,MATCH($A402,'Master Inventory'!$A:$A,0)))</f>
        <v/>
      </c>
      <c r="D402" s="7">
        <f>IF($A402="","",D401+C402)</f>
        <v/>
      </c>
      <c r="E402" s="9">
        <f>IF($A402="","",D402/SUM('Master Inventory'!$G:$G))</f>
        <v/>
      </c>
      <c r="F402" s="8">
        <f>IF($A402="","",IF(E402&lt;=0.8,"A",IF(E402&lt;=0.95,"B","C")))</f>
        <v/>
      </c>
    </row>
    <row r="403">
      <c r="A403" s="8">
        <f>IF(402&gt;COUNT('Master Inventory'!$G:$G),"",INDEX('Master Inventory'!$A:$A,MATCH(402,'Master Inventory'!$J:$J,0)))</f>
        <v/>
      </c>
      <c r="B403" s="8">
        <f>IF($A403="","",INDEX('Master Inventory'!$B:$B,MATCH($A403,'Master Inventory'!$A:$A,0)))</f>
        <v/>
      </c>
      <c r="C403" s="7">
        <f>IF($A403="","",INDEX('Master Inventory'!$G:$G,MATCH($A403,'Master Inventory'!$A:$A,0)))</f>
        <v/>
      </c>
      <c r="D403" s="7">
        <f>IF($A403="","",D402+C403)</f>
        <v/>
      </c>
      <c r="E403" s="9">
        <f>IF($A403="","",D403/SUM('Master Inventory'!$G:$G))</f>
        <v/>
      </c>
      <c r="F403" s="8">
        <f>IF($A403="","",IF(E403&lt;=0.8,"A",IF(E403&lt;=0.95,"B","C")))</f>
        <v/>
      </c>
    </row>
    <row r="404">
      <c r="A404" s="8">
        <f>IF(403&gt;COUNT('Master Inventory'!$G:$G),"",INDEX('Master Inventory'!$A:$A,MATCH(403,'Master Inventory'!$J:$J,0)))</f>
        <v/>
      </c>
      <c r="B404" s="8">
        <f>IF($A404="","",INDEX('Master Inventory'!$B:$B,MATCH($A404,'Master Inventory'!$A:$A,0)))</f>
        <v/>
      </c>
      <c r="C404" s="7">
        <f>IF($A404="","",INDEX('Master Inventory'!$G:$G,MATCH($A404,'Master Inventory'!$A:$A,0)))</f>
        <v/>
      </c>
      <c r="D404" s="7">
        <f>IF($A404="","",D403+C404)</f>
        <v/>
      </c>
      <c r="E404" s="9">
        <f>IF($A404="","",D404/SUM('Master Inventory'!$G:$G))</f>
        <v/>
      </c>
      <c r="F404" s="8">
        <f>IF($A404="","",IF(E404&lt;=0.8,"A",IF(E404&lt;=0.95,"B","C")))</f>
        <v/>
      </c>
    </row>
    <row r="405">
      <c r="A405" s="8">
        <f>IF(404&gt;COUNT('Master Inventory'!$G:$G),"",INDEX('Master Inventory'!$A:$A,MATCH(404,'Master Inventory'!$J:$J,0)))</f>
        <v/>
      </c>
      <c r="B405" s="8">
        <f>IF($A405="","",INDEX('Master Inventory'!$B:$B,MATCH($A405,'Master Inventory'!$A:$A,0)))</f>
        <v/>
      </c>
      <c r="C405" s="7">
        <f>IF($A405="","",INDEX('Master Inventory'!$G:$G,MATCH($A405,'Master Inventory'!$A:$A,0)))</f>
        <v/>
      </c>
      <c r="D405" s="7">
        <f>IF($A405="","",D404+C405)</f>
        <v/>
      </c>
      <c r="E405" s="9">
        <f>IF($A405="","",D405/SUM('Master Inventory'!$G:$G))</f>
        <v/>
      </c>
      <c r="F405" s="8">
        <f>IF($A405="","",IF(E405&lt;=0.8,"A",IF(E405&lt;=0.95,"B","C")))</f>
        <v/>
      </c>
    </row>
    <row r="406">
      <c r="A406" s="8">
        <f>IF(405&gt;COUNT('Master Inventory'!$G:$G),"",INDEX('Master Inventory'!$A:$A,MATCH(405,'Master Inventory'!$J:$J,0)))</f>
        <v/>
      </c>
      <c r="B406" s="8">
        <f>IF($A406="","",INDEX('Master Inventory'!$B:$B,MATCH($A406,'Master Inventory'!$A:$A,0)))</f>
        <v/>
      </c>
      <c r="C406" s="7">
        <f>IF($A406="","",INDEX('Master Inventory'!$G:$G,MATCH($A406,'Master Inventory'!$A:$A,0)))</f>
        <v/>
      </c>
      <c r="D406" s="7">
        <f>IF($A406="","",D405+C406)</f>
        <v/>
      </c>
      <c r="E406" s="9">
        <f>IF($A406="","",D406/SUM('Master Inventory'!$G:$G))</f>
        <v/>
      </c>
      <c r="F406" s="8">
        <f>IF($A406="","",IF(E406&lt;=0.8,"A",IF(E406&lt;=0.95,"B","C")))</f>
        <v/>
      </c>
    </row>
    <row r="407">
      <c r="A407" s="8">
        <f>IF(406&gt;COUNT('Master Inventory'!$G:$G),"",INDEX('Master Inventory'!$A:$A,MATCH(406,'Master Inventory'!$J:$J,0)))</f>
        <v/>
      </c>
      <c r="B407" s="8">
        <f>IF($A407="","",INDEX('Master Inventory'!$B:$B,MATCH($A407,'Master Inventory'!$A:$A,0)))</f>
        <v/>
      </c>
      <c r="C407" s="7">
        <f>IF($A407="","",INDEX('Master Inventory'!$G:$G,MATCH($A407,'Master Inventory'!$A:$A,0)))</f>
        <v/>
      </c>
      <c r="D407" s="7">
        <f>IF($A407="","",D406+C407)</f>
        <v/>
      </c>
      <c r="E407" s="9">
        <f>IF($A407="","",D407/SUM('Master Inventory'!$G:$G))</f>
        <v/>
      </c>
      <c r="F407" s="8">
        <f>IF($A407="","",IF(E407&lt;=0.8,"A",IF(E407&lt;=0.95,"B","C")))</f>
        <v/>
      </c>
    </row>
    <row r="408">
      <c r="A408" s="8">
        <f>IF(407&gt;COUNT('Master Inventory'!$G:$G),"",INDEX('Master Inventory'!$A:$A,MATCH(407,'Master Inventory'!$J:$J,0)))</f>
        <v/>
      </c>
      <c r="B408" s="8">
        <f>IF($A408="","",INDEX('Master Inventory'!$B:$B,MATCH($A408,'Master Inventory'!$A:$A,0)))</f>
        <v/>
      </c>
      <c r="C408" s="7">
        <f>IF($A408="","",INDEX('Master Inventory'!$G:$G,MATCH($A408,'Master Inventory'!$A:$A,0)))</f>
        <v/>
      </c>
      <c r="D408" s="7">
        <f>IF($A408="","",D407+C408)</f>
        <v/>
      </c>
      <c r="E408" s="9">
        <f>IF($A408="","",D408/SUM('Master Inventory'!$G:$G))</f>
        <v/>
      </c>
      <c r="F408" s="8">
        <f>IF($A408="","",IF(E408&lt;=0.8,"A",IF(E408&lt;=0.95,"B","C")))</f>
        <v/>
      </c>
    </row>
    <row r="409">
      <c r="A409" s="8">
        <f>IF(408&gt;COUNT('Master Inventory'!$G:$G),"",INDEX('Master Inventory'!$A:$A,MATCH(408,'Master Inventory'!$J:$J,0)))</f>
        <v/>
      </c>
      <c r="B409" s="8">
        <f>IF($A409="","",INDEX('Master Inventory'!$B:$B,MATCH($A409,'Master Inventory'!$A:$A,0)))</f>
        <v/>
      </c>
      <c r="C409" s="7">
        <f>IF($A409="","",INDEX('Master Inventory'!$G:$G,MATCH($A409,'Master Inventory'!$A:$A,0)))</f>
        <v/>
      </c>
      <c r="D409" s="7">
        <f>IF($A409="","",D408+C409)</f>
        <v/>
      </c>
      <c r="E409" s="9">
        <f>IF($A409="","",D409/SUM('Master Inventory'!$G:$G))</f>
        <v/>
      </c>
      <c r="F409" s="8">
        <f>IF($A409="","",IF(E409&lt;=0.8,"A",IF(E409&lt;=0.95,"B","C")))</f>
        <v/>
      </c>
    </row>
    <row r="410">
      <c r="A410" s="8">
        <f>IF(409&gt;COUNT('Master Inventory'!$G:$G),"",INDEX('Master Inventory'!$A:$A,MATCH(409,'Master Inventory'!$J:$J,0)))</f>
        <v/>
      </c>
      <c r="B410" s="8">
        <f>IF($A410="","",INDEX('Master Inventory'!$B:$B,MATCH($A410,'Master Inventory'!$A:$A,0)))</f>
        <v/>
      </c>
      <c r="C410" s="7">
        <f>IF($A410="","",INDEX('Master Inventory'!$G:$G,MATCH($A410,'Master Inventory'!$A:$A,0)))</f>
        <v/>
      </c>
      <c r="D410" s="7">
        <f>IF($A410="","",D409+C410)</f>
        <v/>
      </c>
      <c r="E410" s="9">
        <f>IF($A410="","",D410/SUM('Master Inventory'!$G:$G))</f>
        <v/>
      </c>
      <c r="F410" s="8">
        <f>IF($A410="","",IF(E410&lt;=0.8,"A",IF(E410&lt;=0.95,"B","C")))</f>
        <v/>
      </c>
    </row>
    <row r="411">
      <c r="A411" s="8">
        <f>IF(410&gt;COUNT('Master Inventory'!$G:$G),"",INDEX('Master Inventory'!$A:$A,MATCH(410,'Master Inventory'!$J:$J,0)))</f>
        <v/>
      </c>
      <c r="B411" s="8">
        <f>IF($A411="","",INDEX('Master Inventory'!$B:$B,MATCH($A411,'Master Inventory'!$A:$A,0)))</f>
        <v/>
      </c>
      <c r="C411" s="7">
        <f>IF($A411="","",INDEX('Master Inventory'!$G:$G,MATCH($A411,'Master Inventory'!$A:$A,0)))</f>
        <v/>
      </c>
      <c r="D411" s="7">
        <f>IF($A411="","",D410+C411)</f>
        <v/>
      </c>
      <c r="E411" s="9">
        <f>IF($A411="","",D411/SUM('Master Inventory'!$G:$G))</f>
        <v/>
      </c>
      <c r="F411" s="8">
        <f>IF($A411="","",IF(E411&lt;=0.8,"A",IF(E411&lt;=0.95,"B","C")))</f>
        <v/>
      </c>
    </row>
    <row r="412">
      <c r="A412" s="8">
        <f>IF(411&gt;COUNT('Master Inventory'!$G:$G),"",INDEX('Master Inventory'!$A:$A,MATCH(411,'Master Inventory'!$J:$J,0)))</f>
        <v/>
      </c>
      <c r="B412" s="8">
        <f>IF($A412="","",INDEX('Master Inventory'!$B:$B,MATCH($A412,'Master Inventory'!$A:$A,0)))</f>
        <v/>
      </c>
      <c r="C412" s="7">
        <f>IF($A412="","",INDEX('Master Inventory'!$G:$G,MATCH($A412,'Master Inventory'!$A:$A,0)))</f>
        <v/>
      </c>
      <c r="D412" s="7">
        <f>IF($A412="","",D411+C412)</f>
        <v/>
      </c>
      <c r="E412" s="9">
        <f>IF($A412="","",D412/SUM('Master Inventory'!$G:$G))</f>
        <v/>
      </c>
      <c r="F412" s="8">
        <f>IF($A412="","",IF(E412&lt;=0.8,"A",IF(E412&lt;=0.95,"B","C")))</f>
        <v/>
      </c>
    </row>
    <row r="413">
      <c r="A413" s="8">
        <f>IF(412&gt;COUNT('Master Inventory'!$G:$G),"",INDEX('Master Inventory'!$A:$A,MATCH(412,'Master Inventory'!$J:$J,0)))</f>
        <v/>
      </c>
      <c r="B413" s="8">
        <f>IF($A413="","",INDEX('Master Inventory'!$B:$B,MATCH($A413,'Master Inventory'!$A:$A,0)))</f>
        <v/>
      </c>
      <c r="C413" s="7">
        <f>IF($A413="","",INDEX('Master Inventory'!$G:$G,MATCH($A413,'Master Inventory'!$A:$A,0)))</f>
        <v/>
      </c>
      <c r="D413" s="7">
        <f>IF($A413="","",D412+C413)</f>
        <v/>
      </c>
      <c r="E413" s="9">
        <f>IF($A413="","",D413/SUM('Master Inventory'!$G:$G))</f>
        <v/>
      </c>
      <c r="F413" s="8">
        <f>IF($A413="","",IF(E413&lt;=0.8,"A",IF(E413&lt;=0.95,"B","C")))</f>
        <v/>
      </c>
    </row>
    <row r="414">
      <c r="A414" s="8">
        <f>IF(413&gt;COUNT('Master Inventory'!$G:$G),"",INDEX('Master Inventory'!$A:$A,MATCH(413,'Master Inventory'!$J:$J,0)))</f>
        <v/>
      </c>
      <c r="B414" s="8">
        <f>IF($A414="","",INDEX('Master Inventory'!$B:$B,MATCH($A414,'Master Inventory'!$A:$A,0)))</f>
        <v/>
      </c>
      <c r="C414" s="7">
        <f>IF($A414="","",INDEX('Master Inventory'!$G:$G,MATCH($A414,'Master Inventory'!$A:$A,0)))</f>
        <v/>
      </c>
      <c r="D414" s="7">
        <f>IF($A414="","",D413+C414)</f>
        <v/>
      </c>
      <c r="E414" s="9">
        <f>IF($A414="","",D414/SUM('Master Inventory'!$G:$G))</f>
        <v/>
      </c>
      <c r="F414" s="8">
        <f>IF($A414="","",IF(E414&lt;=0.8,"A",IF(E414&lt;=0.95,"B","C")))</f>
        <v/>
      </c>
    </row>
    <row r="415">
      <c r="A415" s="8">
        <f>IF(414&gt;COUNT('Master Inventory'!$G:$G),"",INDEX('Master Inventory'!$A:$A,MATCH(414,'Master Inventory'!$J:$J,0)))</f>
        <v/>
      </c>
      <c r="B415" s="8">
        <f>IF($A415="","",INDEX('Master Inventory'!$B:$B,MATCH($A415,'Master Inventory'!$A:$A,0)))</f>
        <v/>
      </c>
      <c r="C415" s="7">
        <f>IF($A415="","",INDEX('Master Inventory'!$G:$G,MATCH($A415,'Master Inventory'!$A:$A,0)))</f>
        <v/>
      </c>
      <c r="D415" s="7">
        <f>IF($A415="","",D414+C415)</f>
        <v/>
      </c>
      <c r="E415" s="9">
        <f>IF($A415="","",D415/SUM('Master Inventory'!$G:$G))</f>
        <v/>
      </c>
      <c r="F415" s="8">
        <f>IF($A415="","",IF(E415&lt;=0.8,"A",IF(E415&lt;=0.95,"B","C")))</f>
        <v/>
      </c>
    </row>
    <row r="416">
      <c r="A416" s="8">
        <f>IF(415&gt;COUNT('Master Inventory'!$G:$G),"",INDEX('Master Inventory'!$A:$A,MATCH(415,'Master Inventory'!$J:$J,0)))</f>
        <v/>
      </c>
      <c r="B416" s="8">
        <f>IF($A416="","",INDEX('Master Inventory'!$B:$B,MATCH($A416,'Master Inventory'!$A:$A,0)))</f>
        <v/>
      </c>
      <c r="C416" s="7">
        <f>IF($A416="","",INDEX('Master Inventory'!$G:$G,MATCH($A416,'Master Inventory'!$A:$A,0)))</f>
        <v/>
      </c>
      <c r="D416" s="7">
        <f>IF($A416="","",D415+C416)</f>
        <v/>
      </c>
      <c r="E416" s="9">
        <f>IF($A416="","",D416/SUM('Master Inventory'!$G:$G))</f>
        <v/>
      </c>
      <c r="F416" s="8">
        <f>IF($A416="","",IF(E416&lt;=0.8,"A",IF(E416&lt;=0.95,"B","C")))</f>
        <v/>
      </c>
    </row>
    <row r="417">
      <c r="A417" s="8">
        <f>IF(416&gt;COUNT('Master Inventory'!$G:$G),"",INDEX('Master Inventory'!$A:$A,MATCH(416,'Master Inventory'!$J:$J,0)))</f>
        <v/>
      </c>
      <c r="B417" s="8">
        <f>IF($A417="","",INDEX('Master Inventory'!$B:$B,MATCH($A417,'Master Inventory'!$A:$A,0)))</f>
        <v/>
      </c>
      <c r="C417" s="7">
        <f>IF($A417="","",INDEX('Master Inventory'!$G:$G,MATCH($A417,'Master Inventory'!$A:$A,0)))</f>
        <v/>
      </c>
      <c r="D417" s="7">
        <f>IF($A417="","",D416+C417)</f>
        <v/>
      </c>
      <c r="E417" s="9">
        <f>IF($A417="","",D417/SUM('Master Inventory'!$G:$G))</f>
        <v/>
      </c>
      <c r="F417" s="8">
        <f>IF($A417="","",IF(E417&lt;=0.8,"A",IF(E417&lt;=0.95,"B","C")))</f>
        <v/>
      </c>
    </row>
    <row r="418">
      <c r="A418" s="8">
        <f>IF(417&gt;COUNT('Master Inventory'!$G:$G),"",INDEX('Master Inventory'!$A:$A,MATCH(417,'Master Inventory'!$J:$J,0)))</f>
        <v/>
      </c>
      <c r="B418" s="8">
        <f>IF($A418="","",INDEX('Master Inventory'!$B:$B,MATCH($A418,'Master Inventory'!$A:$A,0)))</f>
        <v/>
      </c>
      <c r="C418" s="7">
        <f>IF($A418="","",INDEX('Master Inventory'!$G:$G,MATCH($A418,'Master Inventory'!$A:$A,0)))</f>
        <v/>
      </c>
      <c r="D418" s="7">
        <f>IF($A418="","",D417+C418)</f>
        <v/>
      </c>
      <c r="E418" s="9">
        <f>IF($A418="","",D418/SUM('Master Inventory'!$G:$G))</f>
        <v/>
      </c>
      <c r="F418" s="8">
        <f>IF($A418="","",IF(E418&lt;=0.8,"A",IF(E418&lt;=0.95,"B","C")))</f>
        <v/>
      </c>
    </row>
    <row r="419">
      <c r="A419" s="8">
        <f>IF(418&gt;COUNT('Master Inventory'!$G:$G),"",INDEX('Master Inventory'!$A:$A,MATCH(418,'Master Inventory'!$J:$J,0)))</f>
        <v/>
      </c>
      <c r="B419" s="8">
        <f>IF($A419="","",INDEX('Master Inventory'!$B:$B,MATCH($A419,'Master Inventory'!$A:$A,0)))</f>
        <v/>
      </c>
      <c r="C419" s="7">
        <f>IF($A419="","",INDEX('Master Inventory'!$G:$G,MATCH($A419,'Master Inventory'!$A:$A,0)))</f>
        <v/>
      </c>
      <c r="D419" s="7">
        <f>IF($A419="","",D418+C419)</f>
        <v/>
      </c>
      <c r="E419" s="9">
        <f>IF($A419="","",D419/SUM('Master Inventory'!$G:$G))</f>
        <v/>
      </c>
      <c r="F419" s="8">
        <f>IF($A419="","",IF(E419&lt;=0.8,"A",IF(E419&lt;=0.95,"B","C")))</f>
        <v/>
      </c>
    </row>
    <row r="420">
      <c r="A420" s="8">
        <f>IF(419&gt;COUNT('Master Inventory'!$G:$G),"",INDEX('Master Inventory'!$A:$A,MATCH(419,'Master Inventory'!$J:$J,0)))</f>
        <v/>
      </c>
      <c r="B420" s="8">
        <f>IF($A420="","",INDEX('Master Inventory'!$B:$B,MATCH($A420,'Master Inventory'!$A:$A,0)))</f>
        <v/>
      </c>
      <c r="C420" s="7">
        <f>IF($A420="","",INDEX('Master Inventory'!$G:$G,MATCH($A420,'Master Inventory'!$A:$A,0)))</f>
        <v/>
      </c>
      <c r="D420" s="7">
        <f>IF($A420="","",D419+C420)</f>
        <v/>
      </c>
      <c r="E420" s="9">
        <f>IF($A420="","",D420/SUM('Master Inventory'!$G:$G))</f>
        <v/>
      </c>
      <c r="F420" s="8">
        <f>IF($A420="","",IF(E420&lt;=0.8,"A",IF(E420&lt;=0.95,"B","C")))</f>
        <v/>
      </c>
    </row>
    <row r="421">
      <c r="A421" s="8">
        <f>IF(420&gt;COUNT('Master Inventory'!$G:$G),"",INDEX('Master Inventory'!$A:$A,MATCH(420,'Master Inventory'!$J:$J,0)))</f>
        <v/>
      </c>
      <c r="B421" s="8">
        <f>IF($A421="","",INDEX('Master Inventory'!$B:$B,MATCH($A421,'Master Inventory'!$A:$A,0)))</f>
        <v/>
      </c>
      <c r="C421" s="7">
        <f>IF($A421="","",INDEX('Master Inventory'!$G:$G,MATCH($A421,'Master Inventory'!$A:$A,0)))</f>
        <v/>
      </c>
      <c r="D421" s="7">
        <f>IF($A421="","",D420+C421)</f>
        <v/>
      </c>
      <c r="E421" s="9">
        <f>IF($A421="","",D421/SUM('Master Inventory'!$G:$G))</f>
        <v/>
      </c>
      <c r="F421" s="8">
        <f>IF($A421="","",IF(E421&lt;=0.8,"A",IF(E421&lt;=0.95,"B","C")))</f>
        <v/>
      </c>
    </row>
    <row r="422">
      <c r="A422" s="8">
        <f>IF(421&gt;COUNT('Master Inventory'!$G:$G),"",INDEX('Master Inventory'!$A:$A,MATCH(421,'Master Inventory'!$J:$J,0)))</f>
        <v/>
      </c>
      <c r="B422" s="8">
        <f>IF($A422="","",INDEX('Master Inventory'!$B:$B,MATCH($A422,'Master Inventory'!$A:$A,0)))</f>
        <v/>
      </c>
      <c r="C422" s="7">
        <f>IF($A422="","",INDEX('Master Inventory'!$G:$G,MATCH($A422,'Master Inventory'!$A:$A,0)))</f>
        <v/>
      </c>
      <c r="D422" s="7">
        <f>IF($A422="","",D421+C422)</f>
        <v/>
      </c>
      <c r="E422" s="9">
        <f>IF($A422="","",D422/SUM('Master Inventory'!$G:$G))</f>
        <v/>
      </c>
      <c r="F422" s="8">
        <f>IF($A422="","",IF(E422&lt;=0.8,"A",IF(E422&lt;=0.95,"B","C")))</f>
        <v/>
      </c>
    </row>
    <row r="423">
      <c r="A423" s="8">
        <f>IF(422&gt;COUNT('Master Inventory'!$G:$G),"",INDEX('Master Inventory'!$A:$A,MATCH(422,'Master Inventory'!$J:$J,0)))</f>
        <v/>
      </c>
      <c r="B423" s="8">
        <f>IF($A423="","",INDEX('Master Inventory'!$B:$B,MATCH($A423,'Master Inventory'!$A:$A,0)))</f>
        <v/>
      </c>
      <c r="C423" s="7">
        <f>IF($A423="","",INDEX('Master Inventory'!$G:$G,MATCH($A423,'Master Inventory'!$A:$A,0)))</f>
        <v/>
      </c>
      <c r="D423" s="7">
        <f>IF($A423="","",D422+C423)</f>
        <v/>
      </c>
      <c r="E423" s="9">
        <f>IF($A423="","",D423/SUM('Master Inventory'!$G:$G))</f>
        <v/>
      </c>
      <c r="F423" s="8">
        <f>IF($A423="","",IF(E423&lt;=0.8,"A",IF(E423&lt;=0.95,"B","C")))</f>
        <v/>
      </c>
    </row>
    <row r="424">
      <c r="A424" s="8">
        <f>IF(423&gt;COUNT('Master Inventory'!$G:$G),"",INDEX('Master Inventory'!$A:$A,MATCH(423,'Master Inventory'!$J:$J,0)))</f>
        <v/>
      </c>
      <c r="B424" s="8">
        <f>IF($A424="","",INDEX('Master Inventory'!$B:$B,MATCH($A424,'Master Inventory'!$A:$A,0)))</f>
        <v/>
      </c>
      <c r="C424" s="7">
        <f>IF($A424="","",INDEX('Master Inventory'!$G:$G,MATCH($A424,'Master Inventory'!$A:$A,0)))</f>
        <v/>
      </c>
      <c r="D424" s="7">
        <f>IF($A424="","",D423+C424)</f>
        <v/>
      </c>
      <c r="E424" s="9">
        <f>IF($A424="","",D424/SUM('Master Inventory'!$G:$G))</f>
        <v/>
      </c>
      <c r="F424" s="8">
        <f>IF($A424="","",IF(E424&lt;=0.8,"A",IF(E424&lt;=0.95,"B","C")))</f>
        <v/>
      </c>
    </row>
    <row r="425">
      <c r="A425" s="8">
        <f>IF(424&gt;COUNT('Master Inventory'!$G:$G),"",INDEX('Master Inventory'!$A:$A,MATCH(424,'Master Inventory'!$J:$J,0)))</f>
        <v/>
      </c>
      <c r="B425" s="8">
        <f>IF($A425="","",INDEX('Master Inventory'!$B:$B,MATCH($A425,'Master Inventory'!$A:$A,0)))</f>
        <v/>
      </c>
      <c r="C425" s="7">
        <f>IF($A425="","",INDEX('Master Inventory'!$G:$G,MATCH($A425,'Master Inventory'!$A:$A,0)))</f>
        <v/>
      </c>
      <c r="D425" s="7">
        <f>IF($A425="","",D424+C425)</f>
        <v/>
      </c>
      <c r="E425" s="9">
        <f>IF($A425="","",D425/SUM('Master Inventory'!$G:$G))</f>
        <v/>
      </c>
      <c r="F425" s="8">
        <f>IF($A425="","",IF(E425&lt;=0.8,"A",IF(E425&lt;=0.95,"B","C")))</f>
        <v/>
      </c>
    </row>
    <row r="426">
      <c r="A426" s="8">
        <f>IF(425&gt;COUNT('Master Inventory'!$G:$G),"",INDEX('Master Inventory'!$A:$A,MATCH(425,'Master Inventory'!$J:$J,0)))</f>
        <v/>
      </c>
      <c r="B426" s="8">
        <f>IF($A426="","",INDEX('Master Inventory'!$B:$B,MATCH($A426,'Master Inventory'!$A:$A,0)))</f>
        <v/>
      </c>
      <c r="C426" s="7">
        <f>IF($A426="","",INDEX('Master Inventory'!$G:$G,MATCH($A426,'Master Inventory'!$A:$A,0)))</f>
        <v/>
      </c>
      <c r="D426" s="7">
        <f>IF($A426="","",D425+C426)</f>
        <v/>
      </c>
      <c r="E426" s="9">
        <f>IF($A426="","",D426/SUM('Master Inventory'!$G:$G))</f>
        <v/>
      </c>
      <c r="F426" s="8">
        <f>IF($A426="","",IF(E426&lt;=0.8,"A",IF(E426&lt;=0.95,"B","C")))</f>
        <v/>
      </c>
    </row>
    <row r="427">
      <c r="A427" s="8">
        <f>IF(426&gt;COUNT('Master Inventory'!$G:$G),"",INDEX('Master Inventory'!$A:$A,MATCH(426,'Master Inventory'!$J:$J,0)))</f>
        <v/>
      </c>
      <c r="B427" s="8">
        <f>IF($A427="","",INDEX('Master Inventory'!$B:$B,MATCH($A427,'Master Inventory'!$A:$A,0)))</f>
        <v/>
      </c>
      <c r="C427" s="7">
        <f>IF($A427="","",INDEX('Master Inventory'!$G:$G,MATCH($A427,'Master Inventory'!$A:$A,0)))</f>
        <v/>
      </c>
      <c r="D427" s="7">
        <f>IF($A427="","",D426+C427)</f>
        <v/>
      </c>
      <c r="E427" s="9">
        <f>IF($A427="","",D427/SUM('Master Inventory'!$G:$G))</f>
        <v/>
      </c>
      <c r="F427" s="8">
        <f>IF($A427="","",IF(E427&lt;=0.8,"A",IF(E427&lt;=0.95,"B","C")))</f>
        <v/>
      </c>
    </row>
    <row r="428">
      <c r="A428" s="8">
        <f>IF(427&gt;COUNT('Master Inventory'!$G:$G),"",INDEX('Master Inventory'!$A:$A,MATCH(427,'Master Inventory'!$J:$J,0)))</f>
        <v/>
      </c>
      <c r="B428" s="8">
        <f>IF($A428="","",INDEX('Master Inventory'!$B:$B,MATCH($A428,'Master Inventory'!$A:$A,0)))</f>
        <v/>
      </c>
      <c r="C428" s="7">
        <f>IF($A428="","",INDEX('Master Inventory'!$G:$G,MATCH($A428,'Master Inventory'!$A:$A,0)))</f>
        <v/>
      </c>
      <c r="D428" s="7">
        <f>IF($A428="","",D427+C428)</f>
        <v/>
      </c>
      <c r="E428" s="9">
        <f>IF($A428="","",D428/SUM('Master Inventory'!$G:$G))</f>
        <v/>
      </c>
      <c r="F428" s="8">
        <f>IF($A428="","",IF(E428&lt;=0.8,"A",IF(E428&lt;=0.95,"B","C")))</f>
        <v/>
      </c>
    </row>
    <row r="429">
      <c r="A429" s="8">
        <f>IF(428&gt;COUNT('Master Inventory'!$G:$G),"",INDEX('Master Inventory'!$A:$A,MATCH(428,'Master Inventory'!$J:$J,0)))</f>
        <v/>
      </c>
      <c r="B429" s="8">
        <f>IF($A429="","",INDEX('Master Inventory'!$B:$B,MATCH($A429,'Master Inventory'!$A:$A,0)))</f>
        <v/>
      </c>
      <c r="C429" s="7">
        <f>IF($A429="","",INDEX('Master Inventory'!$G:$G,MATCH($A429,'Master Inventory'!$A:$A,0)))</f>
        <v/>
      </c>
      <c r="D429" s="7">
        <f>IF($A429="","",D428+C429)</f>
        <v/>
      </c>
      <c r="E429" s="9">
        <f>IF($A429="","",D429/SUM('Master Inventory'!$G:$G))</f>
        <v/>
      </c>
      <c r="F429" s="8">
        <f>IF($A429="","",IF(E429&lt;=0.8,"A",IF(E429&lt;=0.95,"B","C")))</f>
        <v/>
      </c>
    </row>
    <row r="430">
      <c r="A430" s="8">
        <f>IF(429&gt;COUNT('Master Inventory'!$G:$G),"",INDEX('Master Inventory'!$A:$A,MATCH(429,'Master Inventory'!$J:$J,0)))</f>
        <v/>
      </c>
      <c r="B430" s="8">
        <f>IF($A430="","",INDEX('Master Inventory'!$B:$B,MATCH($A430,'Master Inventory'!$A:$A,0)))</f>
        <v/>
      </c>
      <c r="C430" s="7">
        <f>IF($A430="","",INDEX('Master Inventory'!$G:$G,MATCH($A430,'Master Inventory'!$A:$A,0)))</f>
        <v/>
      </c>
      <c r="D430" s="7">
        <f>IF($A430="","",D429+C430)</f>
        <v/>
      </c>
      <c r="E430" s="9">
        <f>IF($A430="","",D430/SUM('Master Inventory'!$G:$G))</f>
        <v/>
      </c>
      <c r="F430" s="8">
        <f>IF($A430="","",IF(E430&lt;=0.8,"A",IF(E430&lt;=0.95,"B","C")))</f>
        <v/>
      </c>
    </row>
    <row r="431">
      <c r="A431" s="8">
        <f>IF(430&gt;COUNT('Master Inventory'!$G:$G),"",INDEX('Master Inventory'!$A:$A,MATCH(430,'Master Inventory'!$J:$J,0)))</f>
        <v/>
      </c>
      <c r="B431" s="8">
        <f>IF($A431="","",INDEX('Master Inventory'!$B:$B,MATCH($A431,'Master Inventory'!$A:$A,0)))</f>
        <v/>
      </c>
      <c r="C431" s="7">
        <f>IF($A431="","",INDEX('Master Inventory'!$G:$G,MATCH($A431,'Master Inventory'!$A:$A,0)))</f>
        <v/>
      </c>
      <c r="D431" s="7">
        <f>IF($A431="","",D430+C431)</f>
        <v/>
      </c>
      <c r="E431" s="9">
        <f>IF($A431="","",D431/SUM('Master Inventory'!$G:$G))</f>
        <v/>
      </c>
      <c r="F431" s="8">
        <f>IF($A431="","",IF(E431&lt;=0.8,"A",IF(E431&lt;=0.95,"B","C")))</f>
        <v/>
      </c>
    </row>
    <row r="432">
      <c r="A432" s="8">
        <f>IF(431&gt;COUNT('Master Inventory'!$G:$G),"",INDEX('Master Inventory'!$A:$A,MATCH(431,'Master Inventory'!$J:$J,0)))</f>
        <v/>
      </c>
      <c r="B432" s="8">
        <f>IF($A432="","",INDEX('Master Inventory'!$B:$B,MATCH($A432,'Master Inventory'!$A:$A,0)))</f>
        <v/>
      </c>
      <c r="C432" s="7">
        <f>IF($A432="","",INDEX('Master Inventory'!$G:$G,MATCH($A432,'Master Inventory'!$A:$A,0)))</f>
        <v/>
      </c>
      <c r="D432" s="7">
        <f>IF($A432="","",D431+C432)</f>
        <v/>
      </c>
      <c r="E432" s="9">
        <f>IF($A432="","",D432/SUM('Master Inventory'!$G:$G))</f>
        <v/>
      </c>
      <c r="F432" s="8">
        <f>IF($A432="","",IF(E432&lt;=0.8,"A",IF(E432&lt;=0.95,"B","C")))</f>
        <v/>
      </c>
    </row>
    <row r="433">
      <c r="A433" s="8">
        <f>IF(432&gt;COUNT('Master Inventory'!$G:$G),"",INDEX('Master Inventory'!$A:$A,MATCH(432,'Master Inventory'!$J:$J,0)))</f>
        <v/>
      </c>
      <c r="B433" s="8">
        <f>IF($A433="","",INDEX('Master Inventory'!$B:$B,MATCH($A433,'Master Inventory'!$A:$A,0)))</f>
        <v/>
      </c>
      <c r="C433" s="7">
        <f>IF($A433="","",INDEX('Master Inventory'!$G:$G,MATCH($A433,'Master Inventory'!$A:$A,0)))</f>
        <v/>
      </c>
      <c r="D433" s="7">
        <f>IF($A433="","",D432+C433)</f>
        <v/>
      </c>
      <c r="E433" s="9">
        <f>IF($A433="","",D433/SUM('Master Inventory'!$G:$G))</f>
        <v/>
      </c>
      <c r="F433" s="8">
        <f>IF($A433="","",IF(E433&lt;=0.8,"A",IF(E433&lt;=0.95,"B","C")))</f>
        <v/>
      </c>
    </row>
    <row r="434">
      <c r="A434" s="8">
        <f>IF(433&gt;COUNT('Master Inventory'!$G:$G),"",INDEX('Master Inventory'!$A:$A,MATCH(433,'Master Inventory'!$J:$J,0)))</f>
        <v/>
      </c>
      <c r="B434" s="8">
        <f>IF($A434="","",INDEX('Master Inventory'!$B:$B,MATCH($A434,'Master Inventory'!$A:$A,0)))</f>
        <v/>
      </c>
      <c r="C434" s="7">
        <f>IF($A434="","",INDEX('Master Inventory'!$G:$G,MATCH($A434,'Master Inventory'!$A:$A,0)))</f>
        <v/>
      </c>
      <c r="D434" s="7">
        <f>IF($A434="","",D433+C434)</f>
        <v/>
      </c>
      <c r="E434" s="9">
        <f>IF($A434="","",D434/SUM('Master Inventory'!$G:$G))</f>
        <v/>
      </c>
      <c r="F434" s="8">
        <f>IF($A434="","",IF(E434&lt;=0.8,"A",IF(E434&lt;=0.95,"B","C")))</f>
        <v/>
      </c>
    </row>
    <row r="435">
      <c r="A435" s="8">
        <f>IF(434&gt;COUNT('Master Inventory'!$G:$G),"",INDEX('Master Inventory'!$A:$A,MATCH(434,'Master Inventory'!$J:$J,0)))</f>
        <v/>
      </c>
      <c r="B435" s="8">
        <f>IF($A435="","",INDEX('Master Inventory'!$B:$B,MATCH($A435,'Master Inventory'!$A:$A,0)))</f>
        <v/>
      </c>
      <c r="C435" s="7">
        <f>IF($A435="","",INDEX('Master Inventory'!$G:$G,MATCH($A435,'Master Inventory'!$A:$A,0)))</f>
        <v/>
      </c>
      <c r="D435" s="7">
        <f>IF($A435="","",D434+C435)</f>
        <v/>
      </c>
      <c r="E435" s="9">
        <f>IF($A435="","",D435/SUM('Master Inventory'!$G:$G))</f>
        <v/>
      </c>
      <c r="F435" s="8">
        <f>IF($A435="","",IF(E435&lt;=0.8,"A",IF(E435&lt;=0.95,"B","C")))</f>
        <v/>
      </c>
    </row>
    <row r="436">
      <c r="A436" s="8">
        <f>IF(435&gt;COUNT('Master Inventory'!$G:$G),"",INDEX('Master Inventory'!$A:$A,MATCH(435,'Master Inventory'!$J:$J,0)))</f>
        <v/>
      </c>
      <c r="B436" s="8">
        <f>IF($A436="","",INDEX('Master Inventory'!$B:$B,MATCH($A436,'Master Inventory'!$A:$A,0)))</f>
        <v/>
      </c>
      <c r="C436" s="7">
        <f>IF($A436="","",INDEX('Master Inventory'!$G:$G,MATCH($A436,'Master Inventory'!$A:$A,0)))</f>
        <v/>
      </c>
      <c r="D436" s="7">
        <f>IF($A436="","",D435+C436)</f>
        <v/>
      </c>
      <c r="E436" s="9">
        <f>IF($A436="","",D436/SUM('Master Inventory'!$G:$G))</f>
        <v/>
      </c>
      <c r="F436" s="8">
        <f>IF($A436="","",IF(E436&lt;=0.8,"A",IF(E436&lt;=0.95,"B","C")))</f>
        <v/>
      </c>
    </row>
    <row r="437">
      <c r="A437" s="8">
        <f>IF(436&gt;COUNT('Master Inventory'!$G:$G),"",INDEX('Master Inventory'!$A:$A,MATCH(436,'Master Inventory'!$J:$J,0)))</f>
        <v/>
      </c>
      <c r="B437" s="8">
        <f>IF($A437="","",INDEX('Master Inventory'!$B:$B,MATCH($A437,'Master Inventory'!$A:$A,0)))</f>
        <v/>
      </c>
      <c r="C437" s="7">
        <f>IF($A437="","",INDEX('Master Inventory'!$G:$G,MATCH($A437,'Master Inventory'!$A:$A,0)))</f>
        <v/>
      </c>
      <c r="D437" s="7">
        <f>IF($A437="","",D436+C437)</f>
        <v/>
      </c>
      <c r="E437" s="9">
        <f>IF($A437="","",D437/SUM('Master Inventory'!$G:$G))</f>
        <v/>
      </c>
      <c r="F437" s="8">
        <f>IF($A437="","",IF(E437&lt;=0.8,"A",IF(E437&lt;=0.95,"B","C")))</f>
        <v/>
      </c>
    </row>
    <row r="438">
      <c r="A438" s="8">
        <f>IF(437&gt;COUNT('Master Inventory'!$G:$G),"",INDEX('Master Inventory'!$A:$A,MATCH(437,'Master Inventory'!$J:$J,0)))</f>
        <v/>
      </c>
      <c r="B438" s="8">
        <f>IF($A438="","",INDEX('Master Inventory'!$B:$B,MATCH($A438,'Master Inventory'!$A:$A,0)))</f>
        <v/>
      </c>
      <c r="C438" s="7">
        <f>IF($A438="","",INDEX('Master Inventory'!$G:$G,MATCH($A438,'Master Inventory'!$A:$A,0)))</f>
        <v/>
      </c>
      <c r="D438" s="7">
        <f>IF($A438="","",D437+C438)</f>
        <v/>
      </c>
      <c r="E438" s="9">
        <f>IF($A438="","",D438/SUM('Master Inventory'!$G:$G))</f>
        <v/>
      </c>
      <c r="F438" s="8">
        <f>IF($A438="","",IF(E438&lt;=0.8,"A",IF(E438&lt;=0.95,"B","C")))</f>
        <v/>
      </c>
    </row>
    <row r="439">
      <c r="A439" s="8">
        <f>IF(438&gt;COUNT('Master Inventory'!$G:$G),"",INDEX('Master Inventory'!$A:$A,MATCH(438,'Master Inventory'!$J:$J,0)))</f>
        <v/>
      </c>
      <c r="B439" s="8">
        <f>IF($A439="","",INDEX('Master Inventory'!$B:$B,MATCH($A439,'Master Inventory'!$A:$A,0)))</f>
        <v/>
      </c>
      <c r="C439" s="7">
        <f>IF($A439="","",INDEX('Master Inventory'!$G:$G,MATCH($A439,'Master Inventory'!$A:$A,0)))</f>
        <v/>
      </c>
      <c r="D439" s="7">
        <f>IF($A439="","",D438+C439)</f>
        <v/>
      </c>
      <c r="E439" s="9">
        <f>IF($A439="","",D439/SUM('Master Inventory'!$G:$G))</f>
        <v/>
      </c>
      <c r="F439" s="8">
        <f>IF($A439="","",IF(E439&lt;=0.8,"A",IF(E439&lt;=0.95,"B","C")))</f>
        <v/>
      </c>
    </row>
    <row r="440">
      <c r="A440" s="8">
        <f>IF(439&gt;COUNT('Master Inventory'!$G:$G),"",INDEX('Master Inventory'!$A:$A,MATCH(439,'Master Inventory'!$J:$J,0)))</f>
        <v/>
      </c>
      <c r="B440" s="8">
        <f>IF($A440="","",INDEX('Master Inventory'!$B:$B,MATCH($A440,'Master Inventory'!$A:$A,0)))</f>
        <v/>
      </c>
      <c r="C440" s="7">
        <f>IF($A440="","",INDEX('Master Inventory'!$G:$G,MATCH($A440,'Master Inventory'!$A:$A,0)))</f>
        <v/>
      </c>
      <c r="D440" s="7">
        <f>IF($A440="","",D439+C440)</f>
        <v/>
      </c>
      <c r="E440" s="9">
        <f>IF($A440="","",D440/SUM('Master Inventory'!$G:$G))</f>
        <v/>
      </c>
      <c r="F440" s="8">
        <f>IF($A440="","",IF(E440&lt;=0.8,"A",IF(E440&lt;=0.95,"B","C")))</f>
        <v/>
      </c>
    </row>
    <row r="441">
      <c r="A441" s="8">
        <f>IF(440&gt;COUNT('Master Inventory'!$G:$G),"",INDEX('Master Inventory'!$A:$A,MATCH(440,'Master Inventory'!$J:$J,0)))</f>
        <v/>
      </c>
      <c r="B441" s="8">
        <f>IF($A441="","",INDEX('Master Inventory'!$B:$B,MATCH($A441,'Master Inventory'!$A:$A,0)))</f>
        <v/>
      </c>
      <c r="C441" s="7">
        <f>IF($A441="","",INDEX('Master Inventory'!$G:$G,MATCH($A441,'Master Inventory'!$A:$A,0)))</f>
        <v/>
      </c>
      <c r="D441" s="7">
        <f>IF($A441="","",D440+C441)</f>
        <v/>
      </c>
      <c r="E441" s="9">
        <f>IF($A441="","",D441/SUM('Master Inventory'!$G:$G))</f>
        <v/>
      </c>
      <c r="F441" s="8">
        <f>IF($A441="","",IF(E441&lt;=0.8,"A",IF(E441&lt;=0.95,"B","C")))</f>
        <v/>
      </c>
    </row>
    <row r="442">
      <c r="A442" s="8">
        <f>IF(441&gt;COUNT('Master Inventory'!$G:$G),"",INDEX('Master Inventory'!$A:$A,MATCH(441,'Master Inventory'!$J:$J,0)))</f>
        <v/>
      </c>
      <c r="B442" s="8">
        <f>IF($A442="","",INDEX('Master Inventory'!$B:$B,MATCH($A442,'Master Inventory'!$A:$A,0)))</f>
        <v/>
      </c>
      <c r="C442" s="7">
        <f>IF($A442="","",INDEX('Master Inventory'!$G:$G,MATCH($A442,'Master Inventory'!$A:$A,0)))</f>
        <v/>
      </c>
      <c r="D442" s="7">
        <f>IF($A442="","",D441+C442)</f>
        <v/>
      </c>
      <c r="E442" s="9">
        <f>IF($A442="","",D442/SUM('Master Inventory'!$G:$G))</f>
        <v/>
      </c>
      <c r="F442" s="8">
        <f>IF($A442="","",IF(E442&lt;=0.8,"A",IF(E442&lt;=0.95,"B","C")))</f>
        <v/>
      </c>
    </row>
    <row r="443">
      <c r="A443" s="8">
        <f>IF(442&gt;COUNT('Master Inventory'!$G:$G),"",INDEX('Master Inventory'!$A:$A,MATCH(442,'Master Inventory'!$J:$J,0)))</f>
        <v/>
      </c>
      <c r="B443" s="8">
        <f>IF($A443="","",INDEX('Master Inventory'!$B:$B,MATCH($A443,'Master Inventory'!$A:$A,0)))</f>
        <v/>
      </c>
      <c r="C443" s="7">
        <f>IF($A443="","",INDEX('Master Inventory'!$G:$G,MATCH($A443,'Master Inventory'!$A:$A,0)))</f>
        <v/>
      </c>
      <c r="D443" s="7">
        <f>IF($A443="","",D442+C443)</f>
        <v/>
      </c>
      <c r="E443" s="9">
        <f>IF($A443="","",D443/SUM('Master Inventory'!$G:$G))</f>
        <v/>
      </c>
      <c r="F443" s="8">
        <f>IF($A443="","",IF(E443&lt;=0.8,"A",IF(E443&lt;=0.95,"B","C")))</f>
        <v/>
      </c>
    </row>
    <row r="444">
      <c r="A444" s="8">
        <f>IF(443&gt;COUNT('Master Inventory'!$G:$G),"",INDEX('Master Inventory'!$A:$A,MATCH(443,'Master Inventory'!$J:$J,0)))</f>
        <v/>
      </c>
      <c r="B444" s="8">
        <f>IF($A444="","",INDEX('Master Inventory'!$B:$B,MATCH($A444,'Master Inventory'!$A:$A,0)))</f>
        <v/>
      </c>
      <c r="C444" s="7">
        <f>IF($A444="","",INDEX('Master Inventory'!$G:$G,MATCH($A444,'Master Inventory'!$A:$A,0)))</f>
        <v/>
      </c>
      <c r="D444" s="7">
        <f>IF($A444="","",D443+C444)</f>
        <v/>
      </c>
      <c r="E444" s="9">
        <f>IF($A444="","",D444/SUM('Master Inventory'!$G:$G))</f>
        <v/>
      </c>
      <c r="F444" s="8">
        <f>IF($A444="","",IF(E444&lt;=0.8,"A",IF(E444&lt;=0.95,"B","C")))</f>
        <v/>
      </c>
    </row>
    <row r="445">
      <c r="A445" s="8">
        <f>IF(444&gt;COUNT('Master Inventory'!$G:$G),"",INDEX('Master Inventory'!$A:$A,MATCH(444,'Master Inventory'!$J:$J,0)))</f>
        <v/>
      </c>
      <c r="B445" s="8">
        <f>IF($A445="","",INDEX('Master Inventory'!$B:$B,MATCH($A445,'Master Inventory'!$A:$A,0)))</f>
        <v/>
      </c>
      <c r="C445" s="7">
        <f>IF($A445="","",INDEX('Master Inventory'!$G:$G,MATCH($A445,'Master Inventory'!$A:$A,0)))</f>
        <v/>
      </c>
      <c r="D445" s="7">
        <f>IF($A445="","",D444+C445)</f>
        <v/>
      </c>
      <c r="E445" s="9">
        <f>IF($A445="","",D445/SUM('Master Inventory'!$G:$G))</f>
        <v/>
      </c>
      <c r="F445" s="8">
        <f>IF($A445="","",IF(E445&lt;=0.8,"A",IF(E445&lt;=0.95,"B","C")))</f>
        <v/>
      </c>
    </row>
    <row r="446">
      <c r="A446" s="8">
        <f>IF(445&gt;COUNT('Master Inventory'!$G:$G),"",INDEX('Master Inventory'!$A:$A,MATCH(445,'Master Inventory'!$J:$J,0)))</f>
        <v/>
      </c>
      <c r="B446" s="8">
        <f>IF($A446="","",INDEX('Master Inventory'!$B:$B,MATCH($A446,'Master Inventory'!$A:$A,0)))</f>
        <v/>
      </c>
      <c r="C446" s="7">
        <f>IF($A446="","",INDEX('Master Inventory'!$G:$G,MATCH($A446,'Master Inventory'!$A:$A,0)))</f>
        <v/>
      </c>
      <c r="D446" s="7">
        <f>IF($A446="","",D445+C446)</f>
        <v/>
      </c>
      <c r="E446" s="9">
        <f>IF($A446="","",D446/SUM('Master Inventory'!$G:$G))</f>
        <v/>
      </c>
      <c r="F446" s="8">
        <f>IF($A446="","",IF(E446&lt;=0.8,"A",IF(E446&lt;=0.95,"B","C")))</f>
        <v/>
      </c>
    </row>
    <row r="447">
      <c r="A447" s="8">
        <f>IF(446&gt;COUNT('Master Inventory'!$G:$G),"",INDEX('Master Inventory'!$A:$A,MATCH(446,'Master Inventory'!$J:$J,0)))</f>
        <v/>
      </c>
      <c r="B447" s="8">
        <f>IF($A447="","",INDEX('Master Inventory'!$B:$B,MATCH($A447,'Master Inventory'!$A:$A,0)))</f>
        <v/>
      </c>
      <c r="C447" s="7">
        <f>IF($A447="","",INDEX('Master Inventory'!$G:$G,MATCH($A447,'Master Inventory'!$A:$A,0)))</f>
        <v/>
      </c>
      <c r="D447" s="7">
        <f>IF($A447="","",D446+C447)</f>
        <v/>
      </c>
      <c r="E447" s="9">
        <f>IF($A447="","",D447/SUM('Master Inventory'!$G:$G))</f>
        <v/>
      </c>
      <c r="F447" s="8">
        <f>IF($A447="","",IF(E447&lt;=0.8,"A",IF(E447&lt;=0.95,"B","C")))</f>
        <v/>
      </c>
    </row>
    <row r="448">
      <c r="A448" s="8">
        <f>IF(447&gt;COUNT('Master Inventory'!$G:$G),"",INDEX('Master Inventory'!$A:$A,MATCH(447,'Master Inventory'!$J:$J,0)))</f>
        <v/>
      </c>
      <c r="B448" s="8">
        <f>IF($A448="","",INDEX('Master Inventory'!$B:$B,MATCH($A448,'Master Inventory'!$A:$A,0)))</f>
        <v/>
      </c>
      <c r="C448" s="7">
        <f>IF($A448="","",INDEX('Master Inventory'!$G:$G,MATCH($A448,'Master Inventory'!$A:$A,0)))</f>
        <v/>
      </c>
      <c r="D448" s="7">
        <f>IF($A448="","",D447+C448)</f>
        <v/>
      </c>
      <c r="E448" s="9">
        <f>IF($A448="","",D448/SUM('Master Inventory'!$G:$G))</f>
        <v/>
      </c>
      <c r="F448" s="8">
        <f>IF($A448="","",IF(E448&lt;=0.8,"A",IF(E448&lt;=0.95,"B","C")))</f>
        <v/>
      </c>
    </row>
    <row r="449">
      <c r="A449" s="8">
        <f>IF(448&gt;COUNT('Master Inventory'!$G:$G),"",INDEX('Master Inventory'!$A:$A,MATCH(448,'Master Inventory'!$J:$J,0)))</f>
        <v/>
      </c>
      <c r="B449" s="8">
        <f>IF($A449="","",INDEX('Master Inventory'!$B:$B,MATCH($A449,'Master Inventory'!$A:$A,0)))</f>
        <v/>
      </c>
      <c r="C449" s="7">
        <f>IF($A449="","",INDEX('Master Inventory'!$G:$G,MATCH($A449,'Master Inventory'!$A:$A,0)))</f>
        <v/>
      </c>
      <c r="D449" s="7">
        <f>IF($A449="","",D448+C449)</f>
        <v/>
      </c>
      <c r="E449" s="9">
        <f>IF($A449="","",D449/SUM('Master Inventory'!$G:$G))</f>
        <v/>
      </c>
      <c r="F449" s="8">
        <f>IF($A449="","",IF(E449&lt;=0.8,"A",IF(E449&lt;=0.95,"B","C")))</f>
        <v/>
      </c>
    </row>
    <row r="450">
      <c r="A450" s="8">
        <f>IF(449&gt;COUNT('Master Inventory'!$G:$G),"",INDEX('Master Inventory'!$A:$A,MATCH(449,'Master Inventory'!$J:$J,0)))</f>
        <v/>
      </c>
      <c r="B450" s="8">
        <f>IF($A450="","",INDEX('Master Inventory'!$B:$B,MATCH($A450,'Master Inventory'!$A:$A,0)))</f>
        <v/>
      </c>
      <c r="C450" s="7">
        <f>IF($A450="","",INDEX('Master Inventory'!$G:$G,MATCH($A450,'Master Inventory'!$A:$A,0)))</f>
        <v/>
      </c>
      <c r="D450" s="7">
        <f>IF($A450="","",D449+C450)</f>
        <v/>
      </c>
      <c r="E450" s="9">
        <f>IF($A450="","",D450/SUM('Master Inventory'!$G:$G))</f>
        <v/>
      </c>
      <c r="F450" s="8">
        <f>IF($A450="","",IF(E450&lt;=0.8,"A",IF(E450&lt;=0.95,"B","C")))</f>
        <v/>
      </c>
    </row>
    <row r="451">
      <c r="A451" s="8">
        <f>IF(450&gt;COUNT('Master Inventory'!$G:$G),"",INDEX('Master Inventory'!$A:$A,MATCH(450,'Master Inventory'!$J:$J,0)))</f>
        <v/>
      </c>
      <c r="B451" s="8">
        <f>IF($A451="","",INDEX('Master Inventory'!$B:$B,MATCH($A451,'Master Inventory'!$A:$A,0)))</f>
        <v/>
      </c>
      <c r="C451" s="7">
        <f>IF($A451="","",INDEX('Master Inventory'!$G:$G,MATCH($A451,'Master Inventory'!$A:$A,0)))</f>
        <v/>
      </c>
      <c r="D451" s="7">
        <f>IF($A451="","",D450+C451)</f>
        <v/>
      </c>
      <c r="E451" s="9">
        <f>IF($A451="","",D451/SUM('Master Inventory'!$G:$G))</f>
        <v/>
      </c>
      <c r="F451" s="8">
        <f>IF($A451="","",IF(E451&lt;=0.8,"A",IF(E451&lt;=0.95,"B","C")))</f>
        <v/>
      </c>
    </row>
    <row r="452">
      <c r="A452" s="8">
        <f>IF(451&gt;COUNT('Master Inventory'!$G:$G),"",INDEX('Master Inventory'!$A:$A,MATCH(451,'Master Inventory'!$J:$J,0)))</f>
        <v/>
      </c>
      <c r="B452" s="8">
        <f>IF($A452="","",INDEX('Master Inventory'!$B:$B,MATCH($A452,'Master Inventory'!$A:$A,0)))</f>
        <v/>
      </c>
      <c r="C452" s="7">
        <f>IF($A452="","",INDEX('Master Inventory'!$G:$G,MATCH($A452,'Master Inventory'!$A:$A,0)))</f>
        <v/>
      </c>
      <c r="D452" s="7">
        <f>IF($A452="","",D451+C452)</f>
        <v/>
      </c>
      <c r="E452" s="9">
        <f>IF($A452="","",D452/SUM('Master Inventory'!$G:$G))</f>
        <v/>
      </c>
      <c r="F452" s="8">
        <f>IF($A452="","",IF(E452&lt;=0.8,"A",IF(E452&lt;=0.95,"B","C")))</f>
        <v/>
      </c>
    </row>
    <row r="453">
      <c r="A453" s="8">
        <f>IF(452&gt;COUNT('Master Inventory'!$G:$G),"",INDEX('Master Inventory'!$A:$A,MATCH(452,'Master Inventory'!$J:$J,0)))</f>
        <v/>
      </c>
      <c r="B453" s="8">
        <f>IF($A453="","",INDEX('Master Inventory'!$B:$B,MATCH($A453,'Master Inventory'!$A:$A,0)))</f>
        <v/>
      </c>
      <c r="C453" s="7">
        <f>IF($A453="","",INDEX('Master Inventory'!$G:$G,MATCH($A453,'Master Inventory'!$A:$A,0)))</f>
        <v/>
      </c>
      <c r="D453" s="7">
        <f>IF($A453="","",D452+C453)</f>
        <v/>
      </c>
      <c r="E453" s="9">
        <f>IF($A453="","",D453/SUM('Master Inventory'!$G:$G))</f>
        <v/>
      </c>
      <c r="F453" s="8">
        <f>IF($A453="","",IF(E453&lt;=0.8,"A",IF(E453&lt;=0.95,"B","C")))</f>
        <v/>
      </c>
    </row>
    <row r="454">
      <c r="A454" s="8">
        <f>IF(453&gt;COUNT('Master Inventory'!$G:$G),"",INDEX('Master Inventory'!$A:$A,MATCH(453,'Master Inventory'!$J:$J,0)))</f>
        <v/>
      </c>
      <c r="B454" s="8">
        <f>IF($A454="","",INDEX('Master Inventory'!$B:$B,MATCH($A454,'Master Inventory'!$A:$A,0)))</f>
        <v/>
      </c>
      <c r="C454" s="7">
        <f>IF($A454="","",INDEX('Master Inventory'!$G:$G,MATCH($A454,'Master Inventory'!$A:$A,0)))</f>
        <v/>
      </c>
      <c r="D454" s="7">
        <f>IF($A454="","",D453+C454)</f>
        <v/>
      </c>
      <c r="E454" s="9">
        <f>IF($A454="","",D454/SUM('Master Inventory'!$G:$G))</f>
        <v/>
      </c>
      <c r="F454" s="8">
        <f>IF($A454="","",IF(E454&lt;=0.8,"A",IF(E454&lt;=0.95,"B","C")))</f>
        <v/>
      </c>
    </row>
    <row r="455">
      <c r="A455" s="8">
        <f>IF(454&gt;COUNT('Master Inventory'!$G:$G),"",INDEX('Master Inventory'!$A:$A,MATCH(454,'Master Inventory'!$J:$J,0)))</f>
        <v/>
      </c>
      <c r="B455" s="8">
        <f>IF($A455="","",INDEX('Master Inventory'!$B:$B,MATCH($A455,'Master Inventory'!$A:$A,0)))</f>
        <v/>
      </c>
      <c r="C455" s="7">
        <f>IF($A455="","",INDEX('Master Inventory'!$G:$G,MATCH($A455,'Master Inventory'!$A:$A,0)))</f>
        <v/>
      </c>
      <c r="D455" s="7">
        <f>IF($A455="","",D454+C455)</f>
        <v/>
      </c>
      <c r="E455" s="9">
        <f>IF($A455="","",D455/SUM('Master Inventory'!$G:$G))</f>
        <v/>
      </c>
      <c r="F455" s="8">
        <f>IF($A455="","",IF(E455&lt;=0.8,"A",IF(E455&lt;=0.95,"B","C")))</f>
        <v/>
      </c>
    </row>
    <row r="456">
      <c r="A456" s="8">
        <f>IF(455&gt;COUNT('Master Inventory'!$G:$G),"",INDEX('Master Inventory'!$A:$A,MATCH(455,'Master Inventory'!$J:$J,0)))</f>
        <v/>
      </c>
      <c r="B456" s="8">
        <f>IF($A456="","",INDEX('Master Inventory'!$B:$B,MATCH($A456,'Master Inventory'!$A:$A,0)))</f>
        <v/>
      </c>
      <c r="C456" s="7">
        <f>IF($A456="","",INDEX('Master Inventory'!$G:$G,MATCH($A456,'Master Inventory'!$A:$A,0)))</f>
        <v/>
      </c>
      <c r="D456" s="7">
        <f>IF($A456="","",D455+C456)</f>
        <v/>
      </c>
      <c r="E456" s="9">
        <f>IF($A456="","",D456/SUM('Master Inventory'!$G:$G))</f>
        <v/>
      </c>
      <c r="F456" s="8">
        <f>IF($A456="","",IF(E456&lt;=0.8,"A",IF(E456&lt;=0.95,"B","C")))</f>
        <v/>
      </c>
    </row>
    <row r="457">
      <c r="A457" s="8">
        <f>IF(456&gt;COUNT('Master Inventory'!$G:$G),"",INDEX('Master Inventory'!$A:$A,MATCH(456,'Master Inventory'!$J:$J,0)))</f>
        <v/>
      </c>
      <c r="B457" s="8">
        <f>IF($A457="","",INDEX('Master Inventory'!$B:$B,MATCH($A457,'Master Inventory'!$A:$A,0)))</f>
        <v/>
      </c>
      <c r="C457" s="7">
        <f>IF($A457="","",INDEX('Master Inventory'!$G:$G,MATCH($A457,'Master Inventory'!$A:$A,0)))</f>
        <v/>
      </c>
      <c r="D457" s="7">
        <f>IF($A457="","",D456+C457)</f>
        <v/>
      </c>
      <c r="E457" s="9">
        <f>IF($A457="","",D457/SUM('Master Inventory'!$G:$G))</f>
        <v/>
      </c>
      <c r="F457" s="8">
        <f>IF($A457="","",IF(E457&lt;=0.8,"A",IF(E457&lt;=0.95,"B","C")))</f>
        <v/>
      </c>
    </row>
    <row r="458">
      <c r="A458" s="8">
        <f>IF(457&gt;COUNT('Master Inventory'!$G:$G),"",INDEX('Master Inventory'!$A:$A,MATCH(457,'Master Inventory'!$J:$J,0)))</f>
        <v/>
      </c>
      <c r="B458" s="8">
        <f>IF($A458="","",INDEX('Master Inventory'!$B:$B,MATCH($A458,'Master Inventory'!$A:$A,0)))</f>
        <v/>
      </c>
      <c r="C458" s="7">
        <f>IF($A458="","",INDEX('Master Inventory'!$G:$G,MATCH($A458,'Master Inventory'!$A:$A,0)))</f>
        <v/>
      </c>
      <c r="D458" s="7">
        <f>IF($A458="","",D457+C458)</f>
        <v/>
      </c>
      <c r="E458" s="9">
        <f>IF($A458="","",D458/SUM('Master Inventory'!$G:$G))</f>
        <v/>
      </c>
      <c r="F458" s="8">
        <f>IF($A458="","",IF(E458&lt;=0.8,"A",IF(E458&lt;=0.95,"B","C")))</f>
        <v/>
      </c>
    </row>
    <row r="459">
      <c r="A459" s="8">
        <f>IF(458&gt;COUNT('Master Inventory'!$G:$G),"",INDEX('Master Inventory'!$A:$A,MATCH(458,'Master Inventory'!$J:$J,0)))</f>
        <v/>
      </c>
      <c r="B459" s="8">
        <f>IF($A459="","",INDEX('Master Inventory'!$B:$B,MATCH($A459,'Master Inventory'!$A:$A,0)))</f>
        <v/>
      </c>
      <c r="C459" s="7">
        <f>IF($A459="","",INDEX('Master Inventory'!$G:$G,MATCH($A459,'Master Inventory'!$A:$A,0)))</f>
        <v/>
      </c>
      <c r="D459" s="7">
        <f>IF($A459="","",D458+C459)</f>
        <v/>
      </c>
      <c r="E459" s="9">
        <f>IF($A459="","",D459/SUM('Master Inventory'!$G:$G))</f>
        <v/>
      </c>
      <c r="F459" s="8">
        <f>IF($A459="","",IF(E459&lt;=0.8,"A",IF(E459&lt;=0.95,"B","C")))</f>
        <v/>
      </c>
    </row>
    <row r="460">
      <c r="A460" s="8">
        <f>IF(459&gt;COUNT('Master Inventory'!$G:$G),"",INDEX('Master Inventory'!$A:$A,MATCH(459,'Master Inventory'!$J:$J,0)))</f>
        <v/>
      </c>
      <c r="B460" s="8">
        <f>IF($A460="","",INDEX('Master Inventory'!$B:$B,MATCH($A460,'Master Inventory'!$A:$A,0)))</f>
        <v/>
      </c>
      <c r="C460" s="7">
        <f>IF($A460="","",INDEX('Master Inventory'!$G:$G,MATCH($A460,'Master Inventory'!$A:$A,0)))</f>
        <v/>
      </c>
      <c r="D460" s="7">
        <f>IF($A460="","",D459+C460)</f>
        <v/>
      </c>
      <c r="E460" s="9">
        <f>IF($A460="","",D460/SUM('Master Inventory'!$G:$G))</f>
        <v/>
      </c>
      <c r="F460" s="8">
        <f>IF($A460="","",IF(E460&lt;=0.8,"A",IF(E460&lt;=0.95,"B","C")))</f>
        <v/>
      </c>
    </row>
    <row r="461">
      <c r="A461" s="8">
        <f>IF(460&gt;COUNT('Master Inventory'!$G:$G),"",INDEX('Master Inventory'!$A:$A,MATCH(460,'Master Inventory'!$J:$J,0)))</f>
        <v/>
      </c>
      <c r="B461" s="8">
        <f>IF($A461="","",INDEX('Master Inventory'!$B:$B,MATCH($A461,'Master Inventory'!$A:$A,0)))</f>
        <v/>
      </c>
      <c r="C461" s="7">
        <f>IF($A461="","",INDEX('Master Inventory'!$G:$G,MATCH($A461,'Master Inventory'!$A:$A,0)))</f>
        <v/>
      </c>
      <c r="D461" s="7">
        <f>IF($A461="","",D460+C461)</f>
        <v/>
      </c>
      <c r="E461" s="9">
        <f>IF($A461="","",D461/SUM('Master Inventory'!$G:$G))</f>
        <v/>
      </c>
      <c r="F461" s="8">
        <f>IF($A461="","",IF(E461&lt;=0.8,"A",IF(E461&lt;=0.95,"B","C")))</f>
        <v/>
      </c>
    </row>
    <row r="462">
      <c r="A462" s="8">
        <f>IF(461&gt;COUNT('Master Inventory'!$G:$G),"",INDEX('Master Inventory'!$A:$A,MATCH(461,'Master Inventory'!$J:$J,0)))</f>
        <v/>
      </c>
      <c r="B462" s="8">
        <f>IF($A462="","",INDEX('Master Inventory'!$B:$B,MATCH($A462,'Master Inventory'!$A:$A,0)))</f>
        <v/>
      </c>
      <c r="C462" s="7">
        <f>IF($A462="","",INDEX('Master Inventory'!$G:$G,MATCH($A462,'Master Inventory'!$A:$A,0)))</f>
        <v/>
      </c>
      <c r="D462" s="7">
        <f>IF($A462="","",D461+C462)</f>
        <v/>
      </c>
      <c r="E462" s="9">
        <f>IF($A462="","",D462/SUM('Master Inventory'!$G:$G))</f>
        <v/>
      </c>
      <c r="F462" s="8">
        <f>IF($A462="","",IF(E462&lt;=0.8,"A",IF(E462&lt;=0.95,"B","C")))</f>
        <v/>
      </c>
    </row>
    <row r="463">
      <c r="A463" s="8">
        <f>IF(462&gt;COUNT('Master Inventory'!$G:$G),"",INDEX('Master Inventory'!$A:$A,MATCH(462,'Master Inventory'!$J:$J,0)))</f>
        <v/>
      </c>
      <c r="B463" s="8">
        <f>IF($A463="","",INDEX('Master Inventory'!$B:$B,MATCH($A463,'Master Inventory'!$A:$A,0)))</f>
        <v/>
      </c>
      <c r="C463" s="7">
        <f>IF($A463="","",INDEX('Master Inventory'!$G:$G,MATCH($A463,'Master Inventory'!$A:$A,0)))</f>
        <v/>
      </c>
      <c r="D463" s="7">
        <f>IF($A463="","",D462+C463)</f>
        <v/>
      </c>
      <c r="E463" s="9">
        <f>IF($A463="","",D463/SUM('Master Inventory'!$G:$G))</f>
        <v/>
      </c>
      <c r="F463" s="8">
        <f>IF($A463="","",IF(E463&lt;=0.8,"A",IF(E463&lt;=0.95,"B","C")))</f>
        <v/>
      </c>
    </row>
    <row r="464">
      <c r="A464" s="8">
        <f>IF(463&gt;COUNT('Master Inventory'!$G:$G),"",INDEX('Master Inventory'!$A:$A,MATCH(463,'Master Inventory'!$J:$J,0)))</f>
        <v/>
      </c>
      <c r="B464" s="8">
        <f>IF($A464="","",INDEX('Master Inventory'!$B:$B,MATCH($A464,'Master Inventory'!$A:$A,0)))</f>
        <v/>
      </c>
      <c r="C464" s="7">
        <f>IF($A464="","",INDEX('Master Inventory'!$G:$G,MATCH($A464,'Master Inventory'!$A:$A,0)))</f>
        <v/>
      </c>
      <c r="D464" s="7">
        <f>IF($A464="","",D463+C464)</f>
        <v/>
      </c>
      <c r="E464" s="9">
        <f>IF($A464="","",D464/SUM('Master Inventory'!$G:$G))</f>
        <v/>
      </c>
      <c r="F464" s="8">
        <f>IF($A464="","",IF(E464&lt;=0.8,"A",IF(E464&lt;=0.95,"B","C")))</f>
        <v/>
      </c>
    </row>
    <row r="465">
      <c r="A465" s="8">
        <f>IF(464&gt;COUNT('Master Inventory'!$G:$G),"",INDEX('Master Inventory'!$A:$A,MATCH(464,'Master Inventory'!$J:$J,0)))</f>
        <v/>
      </c>
      <c r="B465" s="8">
        <f>IF($A465="","",INDEX('Master Inventory'!$B:$B,MATCH($A465,'Master Inventory'!$A:$A,0)))</f>
        <v/>
      </c>
      <c r="C465" s="7">
        <f>IF($A465="","",INDEX('Master Inventory'!$G:$G,MATCH($A465,'Master Inventory'!$A:$A,0)))</f>
        <v/>
      </c>
      <c r="D465" s="7">
        <f>IF($A465="","",D464+C465)</f>
        <v/>
      </c>
      <c r="E465" s="9">
        <f>IF($A465="","",D465/SUM('Master Inventory'!$G:$G))</f>
        <v/>
      </c>
      <c r="F465" s="8">
        <f>IF($A465="","",IF(E465&lt;=0.8,"A",IF(E465&lt;=0.95,"B","C")))</f>
        <v/>
      </c>
    </row>
    <row r="466">
      <c r="A466" s="8">
        <f>IF(465&gt;COUNT('Master Inventory'!$G:$G),"",INDEX('Master Inventory'!$A:$A,MATCH(465,'Master Inventory'!$J:$J,0)))</f>
        <v/>
      </c>
      <c r="B466" s="8">
        <f>IF($A466="","",INDEX('Master Inventory'!$B:$B,MATCH($A466,'Master Inventory'!$A:$A,0)))</f>
        <v/>
      </c>
      <c r="C466" s="7">
        <f>IF($A466="","",INDEX('Master Inventory'!$G:$G,MATCH($A466,'Master Inventory'!$A:$A,0)))</f>
        <v/>
      </c>
      <c r="D466" s="7">
        <f>IF($A466="","",D465+C466)</f>
        <v/>
      </c>
      <c r="E466" s="9">
        <f>IF($A466="","",D466/SUM('Master Inventory'!$G:$G))</f>
        <v/>
      </c>
      <c r="F466" s="8">
        <f>IF($A466="","",IF(E466&lt;=0.8,"A",IF(E466&lt;=0.95,"B","C")))</f>
        <v/>
      </c>
    </row>
    <row r="467">
      <c r="A467" s="8">
        <f>IF(466&gt;COUNT('Master Inventory'!$G:$G),"",INDEX('Master Inventory'!$A:$A,MATCH(466,'Master Inventory'!$J:$J,0)))</f>
        <v/>
      </c>
      <c r="B467" s="8">
        <f>IF($A467="","",INDEX('Master Inventory'!$B:$B,MATCH($A467,'Master Inventory'!$A:$A,0)))</f>
        <v/>
      </c>
      <c r="C467" s="7">
        <f>IF($A467="","",INDEX('Master Inventory'!$G:$G,MATCH($A467,'Master Inventory'!$A:$A,0)))</f>
        <v/>
      </c>
      <c r="D467" s="7">
        <f>IF($A467="","",D466+C467)</f>
        <v/>
      </c>
      <c r="E467" s="9">
        <f>IF($A467="","",D467/SUM('Master Inventory'!$G:$G))</f>
        <v/>
      </c>
      <c r="F467" s="8">
        <f>IF($A467="","",IF(E467&lt;=0.8,"A",IF(E467&lt;=0.95,"B","C")))</f>
        <v/>
      </c>
    </row>
    <row r="468">
      <c r="A468" s="8">
        <f>IF(467&gt;COUNT('Master Inventory'!$G:$G),"",INDEX('Master Inventory'!$A:$A,MATCH(467,'Master Inventory'!$J:$J,0)))</f>
        <v/>
      </c>
      <c r="B468" s="8">
        <f>IF($A468="","",INDEX('Master Inventory'!$B:$B,MATCH($A468,'Master Inventory'!$A:$A,0)))</f>
        <v/>
      </c>
      <c r="C468" s="7">
        <f>IF($A468="","",INDEX('Master Inventory'!$G:$G,MATCH($A468,'Master Inventory'!$A:$A,0)))</f>
        <v/>
      </c>
      <c r="D468" s="7">
        <f>IF($A468="","",D467+C468)</f>
        <v/>
      </c>
      <c r="E468" s="9">
        <f>IF($A468="","",D468/SUM('Master Inventory'!$G:$G))</f>
        <v/>
      </c>
      <c r="F468" s="8">
        <f>IF($A468="","",IF(E468&lt;=0.8,"A",IF(E468&lt;=0.95,"B","C")))</f>
        <v/>
      </c>
    </row>
    <row r="469">
      <c r="A469" s="8">
        <f>IF(468&gt;COUNT('Master Inventory'!$G:$G),"",INDEX('Master Inventory'!$A:$A,MATCH(468,'Master Inventory'!$J:$J,0)))</f>
        <v/>
      </c>
      <c r="B469" s="8">
        <f>IF($A469="","",INDEX('Master Inventory'!$B:$B,MATCH($A469,'Master Inventory'!$A:$A,0)))</f>
        <v/>
      </c>
      <c r="C469" s="7">
        <f>IF($A469="","",INDEX('Master Inventory'!$G:$G,MATCH($A469,'Master Inventory'!$A:$A,0)))</f>
        <v/>
      </c>
      <c r="D469" s="7">
        <f>IF($A469="","",D468+C469)</f>
        <v/>
      </c>
      <c r="E469" s="9">
        <f>IF($A469="","",D469/SUM('Master Inventory'!$G:$G))</f>
        <v/>
      </c>
      <c r="F469" s="8">
        <f>IF($A469="","",IF(E469&lt;=0.8,"A",IF(E469&lt;=0.95,"B","C")))</f>
        <v/>
      </c>
    </row>
    <row r="470">
      <c r="A470" s="8">
        <f>IF(469&gt;COUNT('Master Inventory'!$G:$G),"",INDEX('Master Inventory'!$A:$A,MATCH(469,'Master Inventory'!$J:$J,0)))</f>
        <v/>
      </c>
      <c r="B470" s="8">
        <f>IF($A470="","",INDEX('Master Inventory'!$B:$B,MATCH($A470,'Master Inventory'!$A:$A,0)))</f>
        <v/>
      </c>
      <c r="C470" s="7">
        <f>IF($A470="","",INDEX('Master Inventory'!$G:$G,MATCH($A470,'Master Inventory'!$A:$A,0)))</f>
        <v/>
      </c>
      <c r="D470" s="7">
        <f>IF($A470="","",D469+C470)</f>
        <v/>
      </c>
      <c r="E470" s="9">
        <f>IF($A470="","",D470/SUM('Master Inventory'!$G:$G))</f>
        <v/>
      </c>
      <c r="F470" s="8">
        <f>IF($A470="","",IF(E470&lt;=0.8,"A",IF(E470&lt;=0.95,"B","C")))</f>
        <v/>
      </c>
    </row>
    <row r="471">
      <c r="A471" s="8">
        <f>IF(470&gt;COUNT('Master Inventory'!$G:$G),"",INDEX('Master Inventory'!$A:$A,MATCH(470,'Master Inventory'!$J:$J,0)))</f>
        <v/>
      </c>
      <c r="B471" s="8">
        <f>IF($A471="","",INDEX('Master Inventory'!$B:$B,MATCH($A471,'Master Inventory'!$A:$A,0)))</f>
        <v/>
      </c>
      <c r="C471" s="7">
        <f>IF($A471="","",INDEX('Master Inventory'!$G:$G,MATCH($A471,'Master Inventory'!$A:$A,0)))</f>
        <v/>
      </c>
      <c r="D471" s="7">
        <f>IF($A471="","",D470+C471)</f>
        <v/>
      </c>
      <c r="E471" s="9">
        <f>IF($A471="","",D471/SUM('Master Inventory'!$G:$G))</f>
        <v/>
      </c>
      <c r="F471" s="8">
        <f>IF($A471="","",IF(E471&lt;=0.8,"A",IF(E471&lt;=0.95,"B","C")))</f>
        <v/>
      </c>
    </row>
    <row r="472">
      <c r="A472" s="8">
        <f>IF(471&gt;COUNT('Master Inventory'!$G:$G),"",INDEX('Master Inventory'!$A:$A,MATCH(471,'Master Inventory'!$J:$J,0)))</f>
        <v/>
      </c>
      <c r="B472" s="8">
        <f>IF($A472="","",INDEX('Master Inventory'!$B:$B,MATCH($A472,'Master Inventory'!$A:$A,0)))</f>
        <v/>
      </c>
      <c r="C472" s="7">
        <f>IF($A472="","",INDEX('Master Inventory'!$G:$G,MATCH($A472,'Master Inventory'!$A:$A,0)))</f>
        <v/>
      </c>
      <c r="D472" s="7">
        <f>IF($A472="","",D471+C472)</f>
        <v/>
      </c>
      <c r="E472" s="9">
        <f>IF($A472="","",D472/SUM('Master Inventory'!$G:$G))</f>
        <v/>
      </c>
      <c r="F472" s="8">
        <f>IF($A472="","",IF(E472&lt;=0.8,"A",IF(E472&lt;=0.95,"B","C")))</f>
        <v/>
      </c>
    </row>
    <row r="473">
      <c r="A473" s="8">
        <f>IF(472&gt;COUNT('Master Inventory'!$G:$G),"",INDEX('Master Inventory'!$A:$A,MATCH(472,'Master Inventory'!$J:$J,0)))</f>
        <v/>
      </c>
      <c r="B473" s="8">
        <f>IF($A473="","",INDEX('Master Inventory'!$B:$B,MATCH($A473,'Master Inventory'!$A:$A,0)))</f>
        <v/>
      </c>
      <c r="C473" s="7">
        <f>IF($A473="","",INDEX('Master Inventory'!$G:$G,MATCH($A473,'Master Inventory'!$A:$A,0)))</f>
        <v/>
      </c>
      <c r="D473" s="7">
        <f>IF($A473="","",D472+C473)</f>
        <v/>
      </c>
      <c r="E473" s="9">
        <f>IF($A473="","",D473/SUM('Master Inventory'!$G:$G))</f>
        <v/>
      </c>
      <c r="F473" s="8">
        <f>IF($A473="","",IF(E473&lt;=0.8,"A",IF(E473&lt;=0.95,"B","C")))</f>
        <v/>
      </c>
    </row>
    <row r="474">
      <c r="A474" s="8">
        <f>IF(473&gt;COUNT('Master Inventory'!$G:$G),"",INDEX('Master Inventory'!$A:$A,MATCH(473,'Master Inventory'!$J:$J,0)))</f>
        <v/>
      </c>
      <c r="B474" s="8">
        <f>IF($A474="","",INDEX('Master Inventory'!$B:$B,MATCH($A474,'Master Inventory'!$A:$A,0)))</f>
        <v/>
      </c>
      <c r="C474" s="7">
        <f>IF($A474="","",INDEX('Master Inventory'!$G:$G,MATCH($A474,'Master Inventory'!$A:$A,0)))</f>
        <v/>
      </c>
      <c r="D474" s="7">
        <f>IF($A474="","",D473+C474)</f>
        <v/>
      </c>
      <c r="E474" s="9">
        <f>IF($A474="","",D474/SUM('Master Inventory'!$G:$G))</f>
        <v/>
      </c>
      <c r="F474" s="8">
        <f>IF($A474="","",IF(E474&lt;=0.8,"A",IF(E474&lt;=0.95,"B","C")))</f>
        <v/>
      </c>
    </row>
    <row r="475">
      <c r="A475" s="8">
        <f>IF(474&gt;COUNT('Master Inventory'!$G:$G),"",INDEX('Master Inventory'!$A:$A,MATCH(474,'Master Inventory'!$J:$J,0)))</f>
        <v/>
      </c>
      <c r="B475" s="8">
        <f>IF($A475="","",INDEX('Master Inventory'!$B:$B,MATCH($A475,'Master Inventory'!$A:$A,0)))</f>
        <v/>
      </c>
      <c r="C475" s="7">
        <f>IF($A475="","",INDEX('Master Inventory'!$G:$G,MATCH($A475,'Master Inventory'!$A:$A,0)))</f>
        <v/>
      </c>
      <c r="D475" s="7">
        <f>IF($A475="","",D474+C475)</f>
        <v/>
      </c>
      <c r="E475" s="9">
        <f>IF($A475="","",D475/SUM('Master Inventory'!$G:$G))</f>
        <v/>
      </c>
      <c r="F475" s="8">
        <f>IF($A475="","",IF(E475&lt;=0.8,"A",IF(E475&lt;=0.95,"B","C")))</f>
        <v/>
      </c>
    </row>
    <row r="476">
      <c r="A476" s="8">
        <f>IF(475&gt;COUNT('Master Inventory'!$G:$G),"",INDEX('Master Inventory'!$A:$A,MATCH(475,'Master Inventory'!$J:$J,0)))</f>
        <v/>
      </c>
      <c r="B476" s="8">
        <f>IF($A476="","",INDEX('Master Inventory'!$B:$B,MATCH($A476,'Master Inventory'!$A:$A,0)))</f>
        <v/>
      </c>
      <c r="C476" s="7">
        <f>IF($A476="","",INDEX('Master Inventory'!$G:$G,MATCH($A476,'Master Inventory'!$A:$A,0)))</f>
        <v/>
      </c>
      <c r="D476" s="7">
        <f>IF($A476="","",D475+C476)</f>
        <v/>
      </c>
      <c r="E476" s="9">
        <f>IF($A476="","",D476/SUM('Master Inventory'!$G:$G))</f>
        <v/>
      </c>
      <c r="F476" s="8">
        <f>IF($A476="","",IF(E476&lt;=0.8,"A",IF(E476&lt;=0.95,"B","C")))</f>
        <v/>
      </c>
    </row>
    <row r="477">
      <c r="A477" s="8">
        <f>IF(476&gt;COUNT('Master Inventory'!$G:$G),"",INDEX('Master Inventory'!$A:$A,MATCH(476,'Master Inventory'!$J:$J,0)))</f>
        <v/>
      </c>
      <c r="B477" s="8">
        <f>IF($A477="","",INDEX('Master Inventory'!$B:$B,MATCH($A477,'Master Inventory'!$A:$A,0)))</f>
        <v/>
      </c>
      <c r="C477" s="7">
        <f>IF($A477="","",INDEX('Master Inventory'!$G:$G,MATCH($A477,'Master Inventory'!$A:$A,0)))</f>
        <v/>
      </c>
      <c r="D477" s="7">
        <f>IF($A477="","",D476+C477)</f>
        <v/>
      </c>
      <c r="E477" s="9">
        <f>IF($A477="","",D477/SUM('Master Inventory'!$G:$G))</f>
        <v/>
      </c>
      <c r="F477" s="8">
        <f>IF($A477="","",IF(E477&lt;=0.8,"A",IF(E477&lt;=0.95,"B","C")))</f>
        <v/>
      </c>
    </row>
    <row r="478">
      <c r="A478" s="8">
        <f>IF(477&gt;COUNT('Master Inventory'!$G:$G),"",INDEX('Master Inventory'!$A:$A,MATCH(477,'Master Inventory'!$J:$J,0)))</f>
        <v/>
      </c>
      <c r="B478" s="8">
        <f>IF($A478="","",INDEX('Master Inventory'!$B:$B,MATCH($A478,'Master Inventory'!$A:$A,0)))</f>
        <v/>
      </c>
      <c r="C478" s="7">
        <f>IF($A478="","",INDEX('Master Inventory'!$G:$G,MATCH($A478,'Master Inventory'!$A:$A,0)))</f>
        <v/>
      </c>
      <c r="D478" s="7">
        <f>IF($A478="","",D477+C478)</f>
        <v/>
      </c>
      <c r="E478" s="9">
        <f>IF($A478="","",D478/SUM('Master Inventory'!$G:$G))</f>
        <v/>
      </c>
      <c r="F478" s="8">
        <f>IF($A478="","",IF(E478&lt;=0.8,"A",IF(E478&lt;=0.95,"B","C")))</f>
        <v/>
      </c>
    </row>
    <row r="479">
      <c r="A479" s="8">
        <f>IF(478&gt;COUNT('Master Inventory'!$G:$G),"",INDEX('Master Inventory'!$A:$A,MATCH(478,'Master Inventory'!$J:$J,0)))</f>
        <v/>
      </c>
      <c r="B479" s="8">
        <f>IF($A479="","",INDEX('Master Inventory'!$B:$B,MATCH($A479,'Master Inventory'!$A:$A,0)))</f>
        <v/>
      </c>
      <c r="C479" s="7">
        <f>IF($A479="","",INDEX('Master Inventory'!$G:$G,MATCH($A479,'Master Inventory'!$A:$A,0)))</f>
        <v/>
      </c>
      <c r="D479" s="7">
        <f>IF($A479="","",D478+C479)</f>
        <v/>
      </c>
      <c r="E479" s="9">
        <f>IF($A479="","",D479/SUM('Master Inventory'!$G:$G))</f>
        <v/>
      </c>
      <c r="F479" s="8">
        <f>IF($A479="","",IF(E479&lt;=0.8,"A",IF(E479&lt;=0.95,"B","C")))</f>
        <v/>
      </c>
    </row>
    <row r="480">
      <c r="A480" s="8">
        <f>IF(479&gt;COUNT('Master Inventory'!$G:$G),"",INDEX('Master Inventory'!$A:$A,MATCH(479,'Master Inventory'!$J:$J,0)))</f>
        <v/>
      </c>
      <c r="B480" s="8">
        <f>IF($A480="","",INDEX('Master Inventory'!$B:$B,MATCH($A480,'Master Inventory'!$A:$A,0)))</f>
        <v/>
      </c>
      <c r="C480" s="7">
        <f>IF($A480="","",INDEX('Master Inventory'!$G:$G,MATCH($A480,'Master Inventory'!$A:$A,0)))</f>
        <v/>
      </c>
      <c r="D480" s="7">
        <f>IF($A480="","",D479+C480)</f>
        <v/>
      </c>
      <c r="E480" s="9">
        <f>IF($A480="","",D480/SUM('Master Inventory'!$G:$G))</f>
        <v/>
      </c>
      <c r="F480" s="8">
        <f>IF($A480="","",IF(E480&lt;=0.8,"A",IF(E480&lt;=0.95,"B","C")))</f>
        <v/>
      </c>
    </row>
    <row r="481">
      <c r="A481" s="8">
        <f>IF(480&gt;COUNT('Master Inventory'!$G:$G),"",INDEX('Master Inventory'!$A:$A,MATCH(480,'Master Inventory'!$J:$J,0)))</f>
        <v/>
      </c>
      <c r="B481" s="8">
        <f>IF($A481="","",INDEX('Master Inventory'!$B:$B,MATCH($A481,'Master Inventory'!$A:$A,0)))</f>
        <v/>
      </c>
      <c r="C481" s="7">
        <f>IF($A481="","",INDEX('Master Inventory'!$G:$G,MATCH($A481,'Master Inventory'!$A:$A,0)))</f>
        <v/>
      </c>
      <c r="D481" s="7">
        <f>IF($A481="","",D480+C481)</f>
        <v/>
      </c>
      <c r="E481" s="9">
        <f>IF($A481="","",D481/SUM('Master Inventory'!$G:$G))</f>
        <v/>
      </c>
      <c r="F481" s="8">
        <f>IF($A481="","",IF(E481&lt;=0.8,"A",IF(E481&lt;=0.95,"B","C")))</f>
        <v/>
      </c>
    </row>
    <row r="482">
      <c r="A482" s="8">
        <f>IF(481&gt;COUNT('Master Inventory'!$G:$G),"",INDEX('Master Inventory'!$A:$A,MATCH(481,'Master Inventory'!$J:$J,0)))</f>
        <v/>
      </c>
      <c r="B482" s="8">
        <f>IF($A482="","",INDEX('Master Inventory'!$B:$B,MATCH($A482,'Master Inventory'!$A:$A,0)))</f>
        <v/>
      </c>
      <c r="C482" s="7">
        <f>IF($A482="","",INDEX('Master Inventory'!$G:$G,MATCH($A482,'Master Inventory'!$A:$A,0)))</f>
        <v/>
      </c>
      <c r="D482" s="7">
        <f>IF($A482="","",D481+C482)</f>
        <v/>
      </c>
      <c r="E482" s="9">
        <f>IF($A482="","",D482/SUM('Master Inventory'!$G:$G))</f>
        <v/>
      </c>
      <c r="F482" s="8">
        <f>IF($A482="","",IF(E482&lt;=0.8,"A",IF(E482&lt;=0.95,"B","C")))</f>
        <v/>
      </c>
    </row>
    <row r="483">
      <c r="A483" s="8">
        <f>IF(482&gt;COUNT('Master Inventory'!$G:$G),"",INDEX('Master Inventory'!$A:$A,MATCH(482,'Master Inventory'!$J:$J,0)))</f>
        <v/>
      </c>
      <c r="B483" s="8">
        <f>IF($A483="","",INDEX('Master Inventory'!$B:$B,MATCH($A483,'Master Inventory'!$A:$A,0)))</f>
        <v/>
      </c>
      <c r="C483" s="7">
        <f>IF($A483="","",INDEX('Master Inventory'!$G:$G,MATCH($A483,'Master Inventory'!$A:$A,0)))</f>
        <v/>
      </c>
      <c r="D483" s="7">
        <f>IF($A483="","",D482+C483)</f>
        <v/>
      </c>
      <c r="E483" s="9">
        <f>IF($A483="","",D483/SUM('Master Inventory'!$G:$G))</f>
        <v/>
      </c>
      <c r="F483" s="8">
        <f>IF($A483="","",IF(E483&lt;=0.8,"A",IF(E483&lt;=0.95,"B","C")))</f>
        <v/>
      </c>
    </row>
    <row r="484">
      <c r="A484" s="8">
        <f>IF(483&gt;COUNT('Master Inventory'!$G:$G),"",INDEX('Master Inventory'!$A:$A,MATCH(483,'Master Inventory'!$J:$J,0)))</f>
        <v/>
      </c>
      <c r="B484" s="8">
        <f>IF($A484="","",INDEX('Master Inventory'!$B:$B,MATCH($A484,'Master Inventory'!$A:$A,0)))</f>
        <v/>
      </c>
      <c r="C484" s="7">
        <f>IF($A484="","",INDEX('Master Inventory'!$G:$G,MATCH($A484,'Master Inventory'!$A:$A,0)))</f>
        <v/>
      </c>
      <c r="D484" s="7">
        <f>IF($A484="","",D483+C484)</f>
        <v/>
      </c>
      <c r="E484" s="9">
        <f>IF($A484="","",D484/SUM('Master Inventory'!$G:$G))</f>
        <v/>
      </c>
      <c r="F484" s="8">
        <f>IF($A484="","",IF(E484&lt;=0.8,"A",IF(E484&lt;=0.95,"B","C")))</f>
        <v/>
      </c>
    </row>
    <row r="485">
      <c r="A485" s="8">
        <f>IF(484&gt;COUNT('Master Inventory'!$G:$G),"",INDEX('Master Inventory'!$A:$A,MATCH(484,'Master Inventory'!$J:$J,0)))</f>
        <v/>
      </c>
      <c r="B485" s="8">
        <f>IF($A485="","",INDEX('Master Inventory'!$B:$B,MATCH($A485,'Master Inventory'!$A:$A,0)))</f>
        <v/>
      </c>
      <c r="C485" s="7">
        <f>IF($A485="","",INDEX('Master Inventory'!$G:$G,MATCH($A485,'Master Inventory'!$A:$A,0)))</f>
        <v/>
      </c>
      <c r="D485" s="7">
        <f>IF($A485="","",D484+C485)</f>
        <v/>
      </c>
      <c r="E485" s="9">
        <f>IF($A485="","",D485/SUM('Master Inventory'!$G:$G))</f>
        <v/>
      </c>
      <c r="F485" s="8">
        <f>IF($A485="","",IF(E485&lt;=0.8,"A",IF(E485&lt;=0.95,"B","C")))</f>
        <v/>
      </c>
    </row>
    <row r="486">
      <c r="A486" s="8">
        <f>IF(485&gt;COUNT('Master Inventory'!$G:$G),"",INDEX('Master Inventory'!$A:$A,MATCH(485,'Master Inventory'!$J:$J,0)))</f>
        <v/>
      </c>
      <c r="B486" s="8">
        <f>IF($A486="","",INDEX('Master Inventory'!$B:$B,MATCH($A486,'Master Inventory'!$A:$A,0)))</f>
        <v/>
      </c>
      <c r="C486" s="7">
        <f>IF($A486="","",INDEX('Master Inventory'!$G:$G,MATCH($A486,'Master Inventory'!$A:$A,0)))</f>
        <v/>
      </c>
      <c r="D486" s="7">
        <f>IF($A486="","",D485+C486)</f>
        <v/>
      </c>
      <c r="E486" s="9">
        <f>IF($A486="","",D486/SUM('Master Inventory'!$G:$G))</f>
        <v/>
      </c>
      <c r="F486" s="8">
        <f>IF($A486="","",IF(E486&lt;=0.8,"A",IF(E486&lt;=0.95,"B","C")))</f>
        <v/>
      </c>
    </row>
    <row r="487">
      <c r="A487" s="8">
        <f>IF(486&gt;COUNT('Master Inventory'!$G:$G),"",INDEX('Master Inventory'!$A:$A,MATCH(486,'Master Inventory'!$J:$J,0)))</f>
        <v/>
      </c>
      <c r="B487" s="8">
        <f>IF($A487="","",INDEX('Master Inventory'!$B:$B,MATCH($A487,'Master Inventory'!$A:$A,0)))</f>
        <v/>
      </c>
      <c r="C487" s="7">
        <f>IF($A487="","",INDEX('Master Inventory'!$G:$G,MATCH($A487,'Master Inventory'!$A:$A,0)))</f>
        <v/>
      </c>
      <c r="D487" s="7">
        <f>IF($A487="","",D486+C487)</f>
        <v/>
      </c>
      <c r="E487" s="9">
        <f>IF($A487="","",D487/SUM('Master Inventory'!$G:$G))</f>
        <v/>
      </c>
      <c r="F487" s="8">
        <f>IF($A487="","",IF(E487&lt;=0.8,"A",IF(E487&lt;=0.95,"B","C")))</f>
        <v/>
      </c>
    </row>
    <row r="488">
      <c r="A488" s="8">
        <f>IF(487&gt;COUNT('Master Inventory'!$G:$G),"",INDEX('Master Inventory'!$A:$A,MATCH(487,'Master Inventory'!$J:$J,0)))</f>
        <v/>
      </c>
      <c r="B488" s="8">
        <f>IF($A488="","",INDEX('Master Inventory'!$B:$B,MATCH($A488,'Master Inventory'!$A:$A,0)))</f>
        <v/>
      </c>
      <c r="C488" s="7">
        <f>IF($A488="","",INDEX('Master Inventory'!$G:$G,MATCH($A488,'Master Inventory'!$A:$A,0)))</f>
        <v/>
      </c>
      <c r="D488" s="7">
        <f>IF($A488="","",D487+C488)</f>
        <v/>
      </c>
      <c r="E488" s="9">
        <f>IF($A488="","",D488/SUM('Master Inventory'!$G:$G))</f>
        <v/>
      </c>
      <c r="F488" s="8">
        <f>IF($A488="","",IF(E488&lt;=0.8,"A",IF(E488&lt;=0.95,"B","C")))</f>
        <v/>
      </c>
    </row>
    <row r="489">
      <c r="A489" s="8">
        <f>IF(488&gt;COUNT('Master Inventory'!$G:$G),"",INDEX('Master Inventory'!$A:$A,MATCH(488,'Master Inventory'!$J:$J,0)))</f>
        <v/>
      </c>
      <c r="B489" s="8">
        <f>IF($A489="","",INDEX('Master Inventory'!$B:$B,MATCH($A489,'Master Inventory'!$A:$A,0)))</f>
        <v/>
      </c>
      <c r="C489" s="7">
        <f>IF($A489="","",INDEX('Master Inventory'!$G:$G,MATCH($A489,'Master Inventory'!$A:$A,0)))</f>
        <v/>
      </c>
      <c r="D489" s="7">
        <f>IF($A489="","",D488+C489)</f>
        <v/>
      </c>
      <c r="E489" s="9">
        <f>IF($A489="","",D489/SUM('Master Inventory'!$G:$G))</f>
        <v/>
      </c>
      <c r="F489" s="8">
        <f>IF($A489="","",IF(E489&lt;=0.8,"A",IF(E489&lt;=0.95,"B","C")))</f>
        <v/>
      </c>
    </row>
    <row r="490">
      <c r="A490" s="8">
        <f>IF(489&gt;COUNT('Master Inventory'!$G:$G),"",INDEX('Master Inventory'!$A:$A,MATCH(489,'Master Inventory'!$J:$J,0)))</f>
        <v/>
      </c>
      <c r="B490" s="8">
        <f>IF($A490="","",INDEX('Master Inventory'!$B:$B,MATCH($A490,'Master Inventory'!$A:$A,0)))</f>
        <v/>
      </c>
      <c r="C490" s="7">
        <f>IF($A490="","",INDEX('Master Inventory'!$G:$G,MATCH($A490,'Master Inventory'!$A:$A,0)))</f>
        <v/>
      </c>
      <c r="D490" s="7">
        <f>IF($A490="","",D489+C490)</f>
        <v/>
      </c>
      <c r="E490" s="9">
        <f>IF($A490="","",D490/SUM('Master Inventory'!$G:$G))</f>
        <v/>
      </c>
      <c r="F490" s="8">
        <f>IF($A490="","",IF(E490&lt;=0.8,"A",IF(E490&lt;=0.95,"B","C")))</f>
        <v/>
      </c>
    </row>
    <row r="491">
      <c r="A491" s="8">
        <f>IF(490&gt;COUNT('Master Inventory'!$G:$G),"",INDEX('Master Inventory'!$A:$A,MATCH(490,'Master Inventory'!$J:$J,0)))</f>
        <v/>
      </c>
      <c r="B491" s="8">
        <f>IF($A491="","",INDEX('Master Inventory'!$B:$B,MATCH($A491,'Master Inventory'!$A:$A,0)))</f>
        <v/>
      </c>
      <c r="C491" s="7">
        <f>IF($A491="","",INDEX('Master Inventory'!$G:$G,MATCH($A491,'Master Inventory'!$A:$A,0)))</f>
        <v/>
      </c>
      <c r="D491" s="7">
        <f>IF($A491="","",D490+C491)</f>
        <v/>
      </c>
      <c r="E491" s="9">
        <f>IF($A491="","",D491/SUM('Master Inventory'!$G:$G))</f>
        <v/>
      </c>
      <c r="F491" s="8">
        <f>IF($A491="","",IF(E491&lt;=0.8,"A",IF(E491&lt;=0.95,"B","C")))</f>
        <v/>
      </c>
    </row>
    <row r="492">
      <c r="A492" s="8">
        <f>IF(491&gt;COUNT('Master Inventory'!$G:$G),"",INDEX('Master Inventory'!$A:$A,MATCH(491,'Master Inventory'!$J:$J,0)))</f>
        <v/>
      </c>
      <c r="B492" s="8">
        <f>IF($A492="","",INDEX('Master Inventory'!$B:$B,MATCH($A492,'Master Inventory'!$A:$A,0)))</f>
        <v/>
      </c>
      <c r="C492" s="7">
        <f>IF($A492="","",INDEX('Master Inventory'!$G:$G,MATCH($A492,'Master Inventory'!$A:$A,0)))</f>
        <v/>
      </c>
      <c r="D492" s="7">
        <f>IF($A492="","",D491+C492)</f>
        <v/>
      </c>
      <c r="E492" s="9">
        <f>IF($A492="","",D492/SUM('Master Inventory'!$G:$G))</f>
        <v/>
      </c>
      <c r="F492" s="8">
        <f>IF($A492="","",IF(E492&lt;=0.8,"A",IF(E492&lt;=0.95,"B","C")))</f>
        <v/>
      </c>
    </row>
    <row r="493">
      <c r="A493" s="8">
        <f>IF(492&gt;COUNT('Master Inventory'!$G:$G),"",INDEX('Master Inventory'!$A:$A,MATCH(492,'Master Inventory'!$J:$J,0)))</f>
        <v/>
      </c>
      <c r="B493" s="8">
        <f>IF($A493="","",INDEX('Master Inventory'!$B:$B,MATCH($A493,'Master Inventory'!$A:$A,0)))</f>
        <v/>
      </c>
      <c r="C493" s="7">
        <f>IF($A493="","",INDEX('Master Inventory'!$G:$G,MATCH($A493,'Master Inventory'!$A:$A,0)))</f>
        <v/>
      </c>
      <c r="D493" s="7">
        <f>IF($A493="","",D492+C493)</f>
        <v/>
      </c>
      <c r="E493" s="9">
        <f>IF($A493="","",D493/SUM('Master Inventory'!$G:$G))</f>
        <v/>
      </c>
      <c r="F493" s="8">
        <f>IF($A493="","",IF(E493&lt;=0.8,"A",IF(E493&lt;=0.95,"B","C")))</f>
        <v/>
      </c>
    </row>
    <row r="494">
      <c r="A494" s="8">
        <f>IF(493&gt;COUNT('Master Inventory'!$G:$G),"",INDEX('Master Inventory'!$A:$A,MATCH(493,'Master Inventory'!$J:$J,0)))</f>
        <v/>
      </c>
      <c r="B494" s="8">
        <f>IF($A494="","",INDEX('Master Inventory'!$B:$B,MATCH($A494,'Master Inventory'!$A:$A,0)))</f>
        <v/>
      </c>
      <c r="C494" s="7">
        <f>IF($A494="","",INDEX('Master Inventory'!$G:$G,MATCH($A494,'Master Inventory'!$A:$A,0)))</f>
        <v/>
      </c>
      <c r="D494" s="7">
        <f>IF($A494="","",D493+C494)</f>
        <v/>
      </c>
      <c r="E494" s="9">
        <f>IF($A494="","",D494/SUM('Master Inventory'!$G:$G))</f>
        <v/>
      </c>
      <c r="F494" s="8">
        <f>IF($A494="","",IF(E494&lt;=0.8,"A",IF(E494&lt;=0.95,"B","C")))</f>
        <v/>
      </c>
    </row>
    <row r="495">
      <c r="A495" s="8">
        <f>IF(494&gt;COUNT('Master Inventory'!$G:$G),"",INDEX('Master Inventory'!$A:$A,MATCH(494,'Master Inventory'!$J:$J,0)))</f>
        <v/>
      </c>
      <c r="B495" s="8">
        <f>IF($A495="","",INDEX('Master Inventory'!$B:$B,MATCH($A495,'Master Inventory'!$A:$A,0)))</f>
        <v/>
      </c>
      <c r="C495" s="7">
        <f>IF($A495="","",INDEX('Master Inventory'!$G:$G,MATCH($A495,'Master Inventory'!$A:$A,0)))</f>
        <v/>
      </c>
      <c r="D495" s="7">
        <f>IF($A495="","",D494+C495)</f>
        <v/>
      </c>
      <c r="E495" s="9">
        <f>IF($A495="","",D495/SUM('Master Inventory'!$G:$G))</f>
        <v/>
      </c>
      <c r="F495" s="8">
        <f>IF($A495="","",IF(E495&lt;=0.8,"A",IF(E495&lt;=0.95,"B","C")))</f>
        <v/>
      </c>
    </row>
    <row r="496">
      <c r="A496" s="8">
        <f>IF(495&gt;COUNT('Master Inventory'!$G:$G),"",INDEX('Master Inventory'!$A:$A,MATCH(495,'Master Inventory'!$J:$J,0)))</f>
        <v/>
      </c>
      <c r="B496" s="8">
        <f>IF($A496="","",INDEX('Master Inventory'!$B:$B,MATCH($A496,'Master Inventory'!$A:$A,0)))</f>
        <v/>
      </c>
      <c r="C496" s="7">
        <f>IF($A496="","",INDEX('Master Inventory'!$G:$G,MATCH($A496,'Master Inventory'!$A:$A,0)))</f>
        <v/>
      </c>
      <c r="D496" s="7">
        <f>IF($A496="","",D495+C496)</f>
        <v/>
      </c>
      <c r="E496" s="9">
        <f>IF($A496="","",D496/SUM('Master Inventory'!$G:$G))</f>
        <v/>
      </c>
      <c r="F496" s="8">
        <f>IF($A496="","",IF(E496&lt;=0.8,"A",IF(E496&lt;=0.95,"B","C")))</f>
        <v/>
      </c>
    </row>
    <row r="497">
      <c r="A497" s="8">
        <f>IF(496&gt;COUNT('Master Inventory'!$G:$G),"",INDEX('Master Inventory'!$A:$A,MATCH(496,'Master Inventory'!$J:$J,0)))</f>
        <v/>
      </c>
      <c r="B497" s="8">
        <f>IF($A497="","",INDEX('Master Inventory'!$B:$B,MATCH($A497,'Master Inventory'!$A:$A,0)))</f>
        <v/>
      </c>
      <c r="C497" s="7">
        <f>IF($A497="","",INDEX('Master Inventory'!$G:$G,MATCH($A497,'Master Inventory'!$A:$A,0)))</f>
        <v/>
      </c>
      <c r="D497" s="7">
        <f>IF($A497="","",D496+C497)</f>
        <v/>
      </c>
      <c r="E497" s="9">
        <f>IF($A497="","",D497/SUM('Master Inventory'!$G:$G))</f>
        <v/>
      </c>
      <c r="F497" s="8">
        <f>IF($A497="","",IF(E497&lt;=0.8,"A",IF(E497&lt;=0.95,"B","C")))</f>
        <v/>
      </c>
    </row>
    <row r="498">
      <c r="A498" s="8">
        <f>IF(497&gt;COUNT('Master Inventory'!$G:$G),"",INDEX('Master Inventory'!$A:$A,MATCH(497,'Master Inventory'!$J:$J,0)))</f>
        <v/>
      </c>
      <c r="B498" s="8">
        <f>IF($A498="","",INDEX('Master Inventory'!$B:$B,MATCH($A498,'Master Inventory'!$A:$A,0)))</f>
        <v/>
      </c>
      <c r="C498" s="7">
        <f>IF($A498="","",INDEX('Master Inventory'!$G:$G,MATCH($A498,'Master Inventory'!$A:$A,0)))</f>
        <v/>
      </c>
      <c r="D498" s="7">
        <f>IF($A498="","",D497+C498)</f>
        <v/>
      </c>
      <c r="E498" s="9">
        <f>IF($A498="","",D498/SUM('Master Inventory'!$G:$G))</f>
        <v/>
      </c>
      <c r="F498" s="8">
        <f>IF($A498="","",IF(E498&lt;=0.8,"A",IF(E498&lt;=0.95,"B","C")))</f>
        <v/>
      </c>
    </row>
    <row r="499">
      <c r="A499" s="8">
        <f>IF(498&gt;COUNT('Master Inventory'!$G:$G),"",INDEX('Master Inventory'!$A:$A,MATCH(498,'Master Inventory'!$J:$J,0)))</f>
        <v/>
      </c>
      <c r="B499" s="8">
        <f>IF($A499="","",INDEX('Master Inventory'!$B:$B,MATCH($A499,'Master Inventory'!$A:$A,0)))</f>
        <v/>
      </c>
      <c r="C499" s="7">
        <f>IF($A499="","",INDEX('Master Inventory'!$G:$G,MATCH($A499,'Master Inventory'!$A:$A,0)))</f>
        <v/>
      </c>
      <c r="D499" s="7">
        <f>IF($A499="","",D498+C499)</f>
        <v/>
      </c>
      <c r="E499" s="9">
        <f>IF($A499="","",D499/SUM('Master Inventory'!$G:$G))</f>
        <v/>
      </c>
      <c r="F499" s="8">
        <f>IF($A499="","",IF(E499&lt;=0.8,"A",IF(E499&lt;=0.95,"B","C")))</f>
        <v/>
      </c>
    </row>
    <row r="500">
      <c r="A500" s="8">
        <f>IF(499&gt;COUNT('Master Inventory'!$G:$G),"",INDEX('Master Inventory'!$A:$A,MATCH(499,'Master Inventory'!$J:$J,0)))</f>
        <v/>
      </c>
      <c r="B500" s="8">
        <f>IF($A500="","",INDEX('Master Inventory'!$B:$B,MATCH($A500,'Master Inventory'!$A:$A,0)))</f>
        <v/>
      </c>
      <c r="C500" s="7">
        <f>IF($A500="","",INDEX('Master Inventory'!$G:$G,MATCH($A500,'Master Inventory'!$A:$A,0)))</f>
        <v/>
      </c>
      <c r="D500" s="7">
        <f>IF($A500="","",D499+C500)</f>
        <v/>
      </c>
      <c r="E500" s="9">
        <f>IF($A500="","",D500/SUM('Master Inventory'!$G:$G))</f>
        <v/>
      </c>
      <c r="F500" s="8">
        <f>IF($A500="","",IF(E500&lt;=0.8,"A",IF(E500&lt;=0.95,"B","C")))</f>
        <v/>
      </c>
    </row>
    <row r="501">
      <c r="A501" s="8">
        <f>IF(500&gt;COUNT('Master Inventory'!$G:$G),"",INDEX('Master Inventory'!$A:$A,MATCH(500,'Master Inventory'!$J:$J,0)))</f>
        <v/>
      </c>
      <c r="B501" s="8">
        <f>IF($A501="","",INDEX('Master Inventory'!$B:$B,MATCH($A501,'Master Inventory'!$A:$A,0)))</f>
        <v/>
      </c>
      <c r="C501" s="7">
        <f>IF($A501="","",INDEX('Master Inventory'!$G:$G,MATCH($A501,'Master Inventory'!$A:$A,0)))</f>
        <v/>
      </c>
      <c r="D501" s="7">
        <f>IF($A501="","",D500+C501)</f>
        <v/>
      </c>
      <c r="E501" s="9">
        <f>IF($A501="","",D501/SUM('Master Inventory'!$G:$G))</f>
        <v/>
      </c>
      <c r="F501" s="8">
        <f>IF($A501="","",IF(E501&lt;=0.8,"A",IF(E501&lt;=0.95,"B","C")))</f>
        <v/>
      </c>
    </row>
  </sheetData>
  <conditionalFormatting sqref="F2:F501">
    <cfRule type="cellIs" priority="1" operator="equal" dxfId="0">
      <formula>"A"</formula>
    </cfRule>
    <cfRule type="cellIs" priority="2" operator="equal" dxfId="1">
      <formula>"B"</formula>
    </cfRule>
    <cfRule type="cellIs" priority="3" operator="equal" dxfId="2">
      <formula>"C"</formula>
    </cfRule>
  </conditionalFormatting>
  <pageMargins left="0.75" right="0.75" top="1" bottom="1" header="0.5" footer="0.5"/>
</worksheet>
</file>

<file path=xl/worksheets/sheet4.xml><?xml version="1.0" encoding="utf-8"?>
<worksheet xmlns="http://schemas.openxmlformats.org/spreadsheetml/2006/main">
  <sheetPr>
    <outlinePr summaryBelow="1" summaryRight="1"/>
    <pageSetUpPr/>
  </sheetPr>
  <dimension ref="A1:O503"/>
  <sheetViews>
    <sheetView workbookViewId="0">
      <selection activeCell="A1" sqref="A1"/>
    </sheetView>
  </sheetViews>
  <sheetFormatPr baseColWidth="8" defaultRowHeight="15"/>
  <cols>
    <col width="11" customWidth="1" min="1" max="1"/>
    <col width="26" customWidth="1" min="2" max="2"/>
    <col width="10" customWidth="1" min="3" max="3"/>
    <col width="20" customWidth="1" min="4" max="4"/>
    <col width="15" customWidth="1" min="5" max="5"/>
    <col width="15" customWidth="1" min="6" max="6"/>
    <col width="11" customWidth="1" min="7" max="7"/>
    <col width="18" customWidth="1" min="8" max="8"/>
  </cols>
  <sheetData>
    <row r="1">
      <c r="A1" s="10" t="inlineStr">
        <is>
          <t>Count frequency assumptions (days) →</t>
        </is>
      </c>
      <c r="J1" s="10" t="inlineStr">
        <is>
          <t>A items</t>
        </is>
      </c>
      <c r="K1" s="11" t="n">
        <v>30</v>
      </c>
      <c r="L1" s="10" t="inlineStr">
        <is>
          <t>B items</t>
        </is>
      </c>
      <c r="M1" s="11" t="n">
        <v>90</v>
      </c>
      <c r="N1" s="10" t="inlineStr">
        <is>
          <t>C items</t>
        </is>
      </c>
      <c r="O1" s="11" t="n">
        <v>365</v>
      </c>
    </row>
    <row r="3">
      <c r="A3" s="4" t="inlineStr">
        <is>
          <t>Item ID</t>
        </is>
      </c>
      <c r="B3" s="4" t="inlineStr">
        <is>
          <t>Description</t>
        </is>
      </c>
      <c r="C3" s="4" t="inlineStr">
        <is>
          <t>ABC Class</t>
        </is>
      </c>
      <c r="D3" s="4" t="inlineStr">
        <is>
          <t>Count Frequency (days)</t>
        </is>
      </c>
      <c r="E3" s="4" t="inlineStr">
        <is>
          <t>Last Count Date</t>
        </is>
      </c>
      <c r="F3" s="4" t="inlineStr">
        <is>
          <t>Next Count Date</t>
        </is>
      </c>
      <c r="G3" s="4" t="inlineStr">
        <is>
          <t>Status</t>
        </is>
      </c>
      <c r="H3" s="4" t="inlineStr">
        <is>
          <t>Counted This Month</t>
        </is>
      </c>
    </row>
    <row r="4">
      <c r="A4" s="8">
        <f>IF('Master Inventory'!A2="","",'Master Inventory'!A2)</f>
        <v/>
      </c>
      <c r="B4" s="8">
        <f>IF($A4="","",INDEX('Master Inventory'!$B:$B,MATCH($A4,'Master Inventory'!$A:$A,0)))</f>
        <v/>
      </c>
      <c r="C4" s="8">
        <f>IF($A4="","",IFERROR(INDEX('ABC Analysis'!$F:$F,MATCH($A4,'ABC Analysis'!$A:$A,0)),""))</f>
        <v/>
      </c>
      <c r="D4" s="8">
        <f>IF($C4="","",IF($C4="A",$K$1,IF($C4="B",$M$1,$O$1)))</f>
        <v/>
      </c>
      <c r="E4" s="12" t="n">
        <v>46183</v>
      </c>
      <c r="F4" s="13">
        <f>IF(OR($A4="",$E4=""),"",$E4+$D4)</f>
        <v/>
      </c>
      <c r="G4" s="8">
        <f>IF($F4="","",IF($F4&lt;TODAY(),"OVERDUE","ON TRACK"))</f>
        <v/>
      </c>
      <c r="H4" s="8">
        <f>IF($A4="","",IF(COUNTIFS('Blind Count Entry'!$C:$C,$A4,'Blind Count Entry'!$B:$B,"&gt;="&amp;DATE(YEAR(TODAY()),MONTH(TODAY()),1),'Blind Count Entry'!$B:$B,"&lt;="&amp;EOMONTH(TODAY(),0))&gt;0,"YES","NO"))</f>
        <v/>
      </c>
    </row>
    <row r="5">
      <c r="A5" s="8">
        <f>IF('Master Inventory'!A3="","",'Master Inventory'!A3)</f>
        <v/>
      </c>
      <c r="B5" s="8">
        <f>IF($A5="","",INDEX('Master Inventory'!$B:$B,MATCH($A5,'Master Inventory'!$A:$A,0)))</f>
        <v/>
      </c>
      <c r="C5" s="8">
        <f>IF($A5="","",IFERROR(INDEX('ABC Analysis'!$F:$F,MATCH($A5,'ABC Analysis'!$A:$A,0)),""))</f>
        <v/>
      </c>
      <c r="D5" s="8">
        <f>IF($C5="","",IF($C5="A",$K$1,IF($C5="B",$M$1,$O$1)))</f>
        <v/>
      </c>
      <c r="E5" s="12" t="n">
        <v>46211</v>
      </c>
      <c r="F5" s="13">
        <f>IF(OR($A5="",$E5=""),"",$E5+$D5)</f>
        <v/>
      </c>
      <c r="G5" s="8">
        <f>IF($F5="","",IF($F5&lt;TODAY(),"OVERDUE","ON TRACK"))</f>
        <v/>
      </c>
      <c r="H5" s="8">
        <f>IF($A5="","",IF(COUNTIFS('Blind Count Entry'!$C:$C,$A5,'Blind Count Entry'!$B:$B,"&gt;="&amp;DATE(YEAR(TODAY()),MONTH(TODAY()),1),'Blind Count Entry'!$B:$B,"&lt;="&amp;EOMONTH(TODAY(),0))&gt;0,"YES","NO"))</f>
        <v/>
      </c>
    </row>
    <row r="6">
      <c r="A6" s="8">
        <f>IF('Master Inventory'!A4="","",'Master Inventory'!A4)</f>
        <v/>
      </c>
      <c r="B6" s="8">
        <f>IF($A6="","",INDEX('Master Inventory'!$B:$B,MATCH($A6,'Master Inventory'!$A:$A,0)))</f>
        <v/>
      </c>
      <c r="C6" s="8">
        <f>IF($A6="","",IFERROR(INDEX('ABC Analysis'!$F:$F,MATCH($A6,'ABC Analysis'!$A:$A,0)),""))</f>
        <v/>
      </c>
      <c r="D6" s="8">
        <f>IF($C6="","",IF($C6="A",$K$1,IF($C6="B",$M$1,$O$1)))</f>
        <v/>
      </c>
      <c r="E6" s="12" t="n">
        <v>46211</v>
      </c>
      <c r="F6" s="13">
        <f>IF(OR($A6="",$E6=""),"",$E6+$D6)</f>
        <v/>
      </c>
      <c r="G6" s="8">
        <f>IF($F6="","",IF($F6&lt;TODAY(),"OVERDUE","ON TRACK"))</f>
        <v/>
      </c>
      <c r="H6" s="8">
        <f>IF($A6="","",IF(COUNTIFS('Blind Count Entry'!$C:$C,$A6,'Blind Count Entry'!$B:$B,"&gt;="&amp;DATE(YEAR(TODAY()),MONTH(TODAY()),1),'Blind Count Entry'!$B:$B,"&lt;="&amp;EOMONTH(TODAY(),0))&gt;0,"YES","NO"))</f>
        <v/>
      </c>
    </row>
    <row r="7">
      <c r="A7" s="8">
        <f>IF('Master Inventory'!A5="","",'Master Inventory'!A5)</f>
        <v/>
      </c>
      <c r="B7" s="8">
        <f>IF($A7="","",INDEX('Master Inventory'!$B:$B,MATCH($A7,'Master Inventory'!$A:$A,0)))</f>
        <v/>
      </c>
      <c r="C7" s="8">
        <f>IF($A7="","",IFERROR(INDEX('ABC Analysis'!$F:$F,MATCH($A7,'ABC Analysis'!$A:$A,0)),""))</f>
        <v/>
      </c>
      <c r="D7" s="8">
        <f>IF($C7="","",IF($C7="A",$K$1,IF($C7="B",$M$1,$O$1)))</f>
        <v/>
      </c>
      <c r="E7" s="12" t="n">
        <v>46218</v>
      </c>
      <c r="F7" s="13">
        <f>IF(OR($A7="",$E7=""),"",$E7+$D7)</f>
        <v/>
      </c>
      <c r="G7" s="8">
        <f>IF($F7="","",IF($F7&lt;TODAY(),"OVERDUE","ON TRACK"))</f>
        <v/>
      </c>
      <c r="H7" s="8">
        <f>IF($A7="","",IF(COUNTIFS('Blind Count Entry'!$C:$C,$A7,'Blind Count Entry'!$B:$B,"&gt;="&amp;DATE(YEAR(TODAY()),MONTH(TODAY()),1),'Blind Count Entry'!$B:$B,"&lt;="&amp;EOMONTH(TODAY(),0))&gt;0,"YES","NO"))</f>
        <v/>
      </c>
    </row>
    <row r="8">
      <c r="A8" s="8">
        <f>IF('Master Inventory'!A6="","",'Master Inventory'!A6)</f>
        <v/>
      </c>
      <c r="B8" s="8">
        <f>IF($A8="","",INDEX('Master Inventory'!$B:$B,MATCH($A8,'Master Inventory'!$A:$A,0)))</f>
        <v/>
      </c>
      <c r="C8" s="8">
        <f>IF($A8="","",IFERROR(INDEX('ABC Analysis'!$F:$F,MATCH($A8,'ABC Analysis'!$A:$A,0)),""))</f>
        <v/>
      </c>
      <c r="D8" s="8">
        <f>IF($C8="","",IF($C8="A",$K$1,IF($C8="B",$M$1,$O$1)))</f>
        <v/>
      </c>
      <c r="E8" s="12" t="n">
        <v>46209</v>
      </c>
      <c r="F8" s="13">
        <f>IF(OR($A8="",$E8=""),"",$E8+$D8)</f>
        <v/>
      </c>
      <c r="G8" s="8">
        <f>IF($F8="","",IF($F8&lt;TODAY(),"OVERDUE","ON TRACK"))</f>
        <v/>
      </c>
      <c r="H8" s="8">
        <f>IF($A8="","",IF(COUNTIFS('Blind Count Entry'!$C:$C,$A8,'Blind Count Entry'!$B:$B,"&gt;="&amp;DATE(YEAR(TODAY()),MONTH(TODAY()),1),'Blind Count Entry'!$B:$B,"&lt;="&amp;EOMONTH(TODAY(),0))&gt;0,"YES","NO"))</f>
        <v/>
      </c>
    </row>
    <row r="9">
      <c r="A9" s="8">
        <f>IF('Master Inventory'!A7="","",'Master Inventory'!A7)</f>
        <v/>
      </c>
      <c r="B9" s="8">
        <f>IF($A9="","",INDEX('Master Inventory'!$B:$B,MATCH($A9,'Master Inventory'!$A:$A,0)))</f>
        <v/>
      </c>
      <c r="C9" s="8">
        <f>IF($A9="","",IFERROR(INDEX('ABC Analysis'!$F:$F,MATCH($A9,'ABC Analysis'!$A:$A,0)),""))</f>
        <v/>
      </c>
      <c r="D9" s="8">
        <f>IF($C9="","",IF($C9="A",$K$1,IF($C9="B",$M$1,$O$1)))</f>
        <v/>
      </c>
      <c r="E9" s="12" t="n">
        <v>46143</v>
      </c>
      <c r="F9" s="13">
        <f>IF(OR($A9="",$E9=""),"",$E9+$D9)</f>
        <v/>
      </c>
      <c r="G9" s="8">
        <f>IF($F9="","",IF($F9&lt;TODAY(),"OVERDUE","ON TRACK"))</f>
        <v/>
      </c>
      <c r="H9" s="8">
        <f>IF($A9="","",IF(COUNTIFS('Blind Count Entry'!$C:$C,$A9,'Blind Count Entry'!$B:$B,"&gt;="&amp;DATE(YEAR(TODAY()),MONTH(TODAY()),1),'Blind Count Entry'!$B:$B,"&lt;="&amp;EOMONTH(TODAY(),0))&gt;0,"YES","NO"))</f>
        <v/>
      </c>
    </row>
    <row r="10">
      <c r="A10" s="8">
        <f>IF('Master Inventory'!A8="","",'Master Inventory'!A8)</f>
        <v/>
      </c>
      <c r="B10" s="8">
        <f>IF($A10="","",INDEX('Master Inventory'!$B:$B,MATCH($A10,'Master Inventory'!$A:$A,0)))</f>
        <v/>
      </c>
      <c r="C10" s="8">
        <f>IF($A10="","",IFERROR(INDEX('ABC Analysis'!$F:$F,MATCH($A10,'ABC Analysis'!$A:$A,0)),""))</f>
        <v/>
      </c>
      <c r="D10" s="8">
        <f>IF($C10="","",IF($C10="A",$K$1,IF($C10="B",$M$1,$O$1)))</f>
        <v/>
      </c>
      <c r="E10" s="12" t="n">
        <v>46223</v>
      </c>
      <c r="F10" s="13">
        <f>IF(OR($A10="",$E10=""),"",$E10+$D10)</f>
        <v/>
      </c>
      <c r="G10" s="8">
        <f>IF($F10="","",IF($F10&lt;TODAY(),"OVERDUE","ON TRACK"))</f>
        <v/>
      </c>
      <c r="H10" s="8">
        <f>IF($A10="","",IF(COUNTIFS('Blind Count Entry'!$C:$C,$A10,'Blind Count Entry'!$B:$B,"&gt;="&amp;DATE(YEAR(TODAY()),MONTH(TODAY()),1),'Blind Count Entry'!$B:$B,"&lt;="&amp;EOMONTH(TODAY(),0))&gt;0,"YES","NO"))</f>
        <v/>
      </c>
    </row>
    <row r="11">
      <c r="A11" s="8">
        <f>IF('Master Inventory'!A9="","",'Master Inventory'!A9)</f>
        <v/>
      </c>
      <c r="B11" s="8">
        <f>IF($A11="","",INDEX('Master Inventory'!$B:$B,MATCH($A11,'Master Inventory'!$A:$A,0)))</f>
        <v/>
      </c>
      <c r="C11" s="8">
        <f>IF($A11="","",IFERROR(INDEX('ABC Analysis'!$F:$F,MATCH($A11,'ABC Analysis'!$A:$A,0)),""))</f>
        <v/>
      </c>
      <c r="D11" s="8">
        <f>IF($C11="","",IF($C11="A",$K$1,IF($C11="B",$M$1,$O$1)))</f>
        <v/>
      </c>
      <c r="E11" s="12" t="n">
        <v>46154</v>
      </c>
      <c r="F11" s="13">
        <f>IF(OR($A11="",$E11=""),"",$E11+$D11)</f>
        <v/>
      </c>
      <c r="G11" s="8">
        <f>IF($F11="","",IF($F11&lt;TODAY(),"OVERDUE","ON TRACK"))</f>
        <v/>
      </c>
      <c r="H11" s="8">
        <f>IF($A11="","",IF(COUNTIFS('Blind Count Entry'!$C:$C,$A11,'Blind Count Entry'!$B:$B,"&gt;="&amp;DATE(YEAR(TODAY()),MONTH(TODAY()),1),'Blind Count Entry'!$B:$B,"&lt;="&amp;EOMONTH(TODAY(),0))&gt;0,"YES","NO"))</f>
        <v/>
      </c>
    </row>
    <row r="12">
      <c r="A12" s="8">
        <f>IF('Master Inventory'!A10="","",'Master Inventory'!A10)</f>
        <v/>
      </c>
      <c r="B12" s="8">
        <f>IF($A12="","",INDEX('Master Inventory'!$B:$B,MATCH($A12,'Master Inventory'!$A:$A,0)))</f>
        <v/>
      </c>
      <c r="C12" s="8">
        <f>IF($A12="","",IFERROR(INDEX('ABC Analysis'!$F:$F,MATCH($A12,'ABC Analysis'!$A:$A,0)),""))</f>
        <v/>
      </c>
      <c r="D12" s="8">
        <f>IF($C12="","",IF($C12="A",$K$1,IF($C12="B",$M$1,$O$1)))</f>
        <v/>
      </c>
      <c r="E12" s="12" t="n">
        <v>46162</v>
      </c>
      <c r="F12" s="13">
        <f>IF(OR($A12="",$E12=""),"",$E12+$D12)</f>
        <v/>
      </c>
      <c r="G12" s="8">
        <f>IF($F12="","",IF($F12&lt;TODAY(),"OVERDUE","ON TRACK"))</f>
        <v/>
      </c>
      <c r="H12" s="8">
        <f>IF($A12="","",IF(COUNTIFS('Blind Count Entry'!$C:$C,$A12,'Blind Count Entry'!$B:$B,"&gt;="&amp;DATE(YEAR(TODAY()),MONTH(TODAY()),1),'Blind Count Entry'!$B:$B,"&lt;="&amp;EOMONTH(TODAY(),0))&gt;0,"YES","NO"))</f>
        <v/>
      </c>
    </row>
    <row r="13">
      <c r="A13" s="8">
        <f>IF('Master Inventory'!A11="","",'Master Inventory'!A11)</f>
        <v/>
      </c>
      <c r="B13" s="8">
        <f>IF($A13="","",INDEX('Master Inventory'!$B:$B,MATCH($A13,'Master Inventory'!$A:$A,0)))</f>
        <v/>
      </c>
      <c r="C13" s="8">
        <f>IF($A13="","",IFERROR(INDEX('ABC Analysis'!$F:$F,MATCH($A13,'ABC Analysis'!$A:$A,0)),""))</f>
        <v/>
      </c>
      <c r="D13" s="8">
        <f>IF($C13="","",IF($C13="A",$K$1,IF($C13="B",$M$1,$O$1)))</f>
        <v/>
      </c>
      <c r="E13" s="12" t="n">
        <v>46174</v>
      </c>
      <c r="F13" s="13">
        <f>IF(OR($A13="",$E13=""),"",$E13+$D13)</f>
        <v/>
      </c>
      <c r="G13" s="8">
        <f>IF($F13="","",IF($F13&lt;TODAY(),"OVERDUE","ON TRACK"))</f>
        <v/>
      </c>
      <c r="H13" s="8">
        <f>IF($A13="","",IF(COUNTIFS('Blind Count Entry'!$C:$C,$A13,'Blind Count Entry'!$B:$B,"&gt;="&amp;DATE(YEAR(TODAY()),MONTH(TODAY()),1),'Blind Count Entry'!$B:$B,"&lt;="&amp;EOMONTH(TODAY(),0))&gt;0,"YES","NO"))</f>
        <v/>
      </c>
    </row>
    <row r="14">
      <c r="A14" s="8">
        <f>IF('Master Inventory'!A12="","",'Master Inventory'!A12)</f>
        <v/>
      </c>
      <c r="B14" s="8">
        <f>IF($A14="","",INDEX('Master Inventory'!$B:$B,MATCH($A14,'Master Inventory'!$A:$A,0)))</f>
        <v/>
      </c>
      <c r="C14" s="8">
        <f>IF($A14="","",IFERROR(INDEX('ABC Analysis'!$F:$F,MATCH($A14,'ABC Analysis'!$A:$A,0)),""))</f>
        <v/>
      </c>
      <c r="D14" s="8">
        <f>IF($C14="","",IF($C14="A",$K$1,IF($C14="B",$M$1,$O$1)))</f>
        <v/>
      </c>
      <c r="E14" s="12" t="n">
        <v>45945</v>
      </c>
      <c r="F14" s="13">
        <f>IF(OR($A14="",$E14=""),"",$E14+$D14)</f>
        <v/>
      </c>
      <c r="G14" s="8">
        <f>IF($F14="","",IF($F14&lt;TODAY(),"OVERDUE","ON TRACK"))</f>
        <v/>
      </c>
      <c r="H14" s="8">
        <f>IF($A14="","",IF(COUNTIFS('Blind Count Entry'!$C:$C,$A14,'Blind Count Entry'!$B:$B,"&gt;="&amp;DATE(YEAR(TODAY()),MONTH(TODAY()),1),'Blind Count Entry'!$B:$B,"&lt;="&amp;EOMONTH(TODAY(),0))&gt;0,"YES","NO"))</f>
        <v/>
      </c>
    </row>
    <row r="15">
      <c r="A15" s="8">
        <f>IF('Master Inventory'!A13="","",'Master Inventory'!A13)</f>
        <v/>
      </c>
      <c r="B15" s="8">
        <f>IF($A15="","",INDEX('Master Inventory'!$B:$B,MATCH($A15,'Master Inventory'!$A:$A,0)))</f>
        <v/>
      </c>
      <c r="C15" s="8">
        <f>IF($A15="","",IFERROR(INDEX('ABC Analysis'!$F:$F,MATCH($A15,'ABC Analysis'!$A:$A,0)),""))</f>
        <v/>
      </c>
      <c r="D15" s="8">
        <f>IF($C15="","",IF($C15="A",$K$1,IF($C15="B",$M$1,$O$1)))</f>
        <v/>
      </c>
      <c r="E15" s="12" t="n">
        <v>45971</v>
      </c>
      <c r="F15" s="13">
        <f>IF(OR($A15="",$E15=""),"",$E15+$D15)</f>
        <v/>
      </c>
      <c r="G15" s="8">
        <f>IF($F15="","",IF($F15&lt;TODAY(),"OVERDUE","ON TRACK"))</f>
        <v/>
      </c>
      <c r="H15" s="8">
        <f>IF($A15="","",IF(COUNTIFS('Blind Count Entry'!$C:$C,$A15,'Blind Count Entry'!$B:$B,"&gt;="&amp;DATE(YEAR(TODAY()),MONTH(TODAY()),1),'Blind Count Entry'!$B:$B,"&lt;="&amp;EOMONTH(TODAY(),0))&gt;0,"YES","NO"))</f>
        <v/>
      </c>
    </row>
    <row r="16">
      <c r="A16" s="8">
        <f>IF('Master Inventory'!A14="","",'Master Inventory'!A14)</f>
        <v/>
      </c>
      <c r="B16" s="8">
        <f>IF($A16="","",INDEX('Master Inventory'!$B:$B,MATCH($A16,'Master Inventory'!$A:$A,0)))</f>
        <v/>
      </c>
      <c r="C16" s="8">
        <f>IF($A16="","",IFERROR(INDEX('ABC Analysis'!$F:$F,MATCH($A16,'ABC Analysis'!$A:$A,0)),""))</f>
        <v/>
      </c>
      <c r="D16" s="8">
        <f>IF($C16="","",IF($C16="A",$K$1,IF($C16="B",$M$1,$O$1)))</f>
        <v/>
      </c>
      <c r="E16" s="12" t="n">
        <v>45996</v>
      </c>
      <c r="F16" s="13">
        <f>IF(OR($A16="",$E16=""),"",$E16+$D16)</f>
        <v/>
      </c>
      <c r="G16" s="8">
        <f>IF($F16="","",IF($F16&lt;TODAY(),"OVERDUE","ON TRACK"))</f>
        <v/>
      </c>
      <c r="H16" s="8">
        <f>IF($A16="","",IF(COUNTIFS('Blind Count Entry'!$C:$C,$A16,'Blind Count Entry'!$B:$B,"&gt;="&amp;DATE(YEAR(TODAY()),MONTH(TODAY()),1),'Blind Count Entry'!$B:$B,"&lt;="&amp;EOMONTH(TODAY(),0))&gt;0,"YES","NO"))</f>
        <v/>
      </c>
    </row>
    <row r="17">
      <c r="A17" s="8">
        <f>IF('Master Inventory'!A15="","",'Master Inventory'!A15)</f>
        <v/>
      </c>
      <c r="B17" s="8">
        <f>IF($A17="","",INDEX('Master Inventory'!$B:$B,MATCH($A17,'Master Inventory'!$A:$A,0)))</f>
        <v/>
      </c>
      <c r="C17" s="8">
        <f>IF($A17="","",IFERROR(INDEX('ABC Analysis'!$F:$F,MATCH($A17,'ABC Analysis'!$A:$A,0)),""))</f>
        <v/>
      </c>
      <c r="D17" s="8">
        <f>IF($C17="","",IF($C17="A",$K$1,IF($C17="B",$M$1,$O$1)))</f>
        <v/>
      </c>
      <c r="E17" s="12" t="n">
        <v>46042</v>
      </c>
      <c r="F17" s="13">
        <f>IF(OR($A17="",$E17=""),"",$E17+$D17)</f>
        <v/>
      </c>
      <c r="G17" s="8">
        <f>IF($F17="","",IF($F17&lt;TODAY(),"OVERDUE","ON TRACK"))</f>
        <v/>
      </c>
      <c r="H17" s="8">
        <f>IF($A17="","",IF(COUNTIFS('Blind Count Entry'!$C:$C,$A17,'Blind Count Entry'!$B:$B,"&gt;="&amp;DATE(YEAR(TODAY()),MONTH(TODAY()),1),'Blind Count Entry'!$B:$B,"&lt;="&amp;EOMONTH(TODAY(),0))&gt;0,"YES","NO"))</f>
        <v/>
      </c>
    </row>
    <row r="18">
      <c r="A18" s="8">
        <f>IF('Master Inventory'!A16="","",'Master Inventory'!A16)</f>
        <v/>
      </c>
      <c r="B18" s="8">
        <f>IF($A18="","",INDEX('Master Inventory'!$B:$B,MATCH($A18,'Master Inventory'!$A:$A,0)))</f>
        <v/>
      </c>
      <c r="C18" s="8">
        <f>IF($A18="","",IFERROR(INDEX('ABC Analysis'!$F:$F,MATCH($A18,'ABC Analysis'!$A:$A,0)),""))</f>
        <v/>
      </c>
      <c r="D18" s="8">
        <f>IF($C18="","",IF($C18="A",$K$1,IF($C18="B",$M$1,$O$1)))</f>
        <v/>
      </c>
      <c r="E18" s="12" t="n">
        <v>46067</v>
      </c>
      <c r="F18" s="13">
        <f>IF(OR($A18="",$E18=""),"",$E18+$D18)</f>
        <v/>
      </c>
      <c r="G18" s="8">
        <f>IF($F18="","",IF($F18&lt;TODAY(),"OVERDUE","ON TRACK"))</f>
        <v/>
      </c>
      <c r="H18" s="8">
        <f>IF($A18="","",IF(COUNTIFS('Blind Count Entry'!$C:$C,$A18,'Blind Count Entry'!$B:$B,"&gt;="&amp;DATE(YEAR(TODAY()),MONTH(TODAY()),1),'Blind Count Entry'!$B:$B,"&lt;="&amp;EOMONTH(TODAY(),0))&gt;0,"YES","NO"))</f>
        <v/>
      </c>
    </row>
    <row r="19">
      <c r="A19" s="8">
        <f>IF('Master Inventory'!A17="","",'Master Inventory'!A17)</f>
        <v/>
      </c>
      <c r="B19" s="8">
        <f>IF($A19="","",INDEX('Master Inventory'!$B:$B,MATCH($A19,'Master Inventory'!$A:$A,0)))</f>
        <v/>
      </c>
      <c r="C19" s="8">
        <f>IF($A19="","",IFERROR(INDEX('ABC Analysis'!$F:$F,MATCH($A19,'ABC Analysis'!$A:$A,0)),""))</f>
        <v/>
      </c>
      <c r="D19" s="8">
        <f>IF($C19="","",IF($C19="A",$K$1,IF($C19="B",$M$1,$O$1)))</f>
        <v/>
      </c>
      <c r="E19" s="12" t="n">
        <v>46084</v>
      </c>
      <c r="F19" s="13">
        <f>IF(OR($A19="",$E19=""),"",$E19+$D19)</f>
        <v/>
      </c>
      <c r="G19" s="8">
        <f>IF($F19="","",IF($F19&lt;TODAY(),"OVERDUE","ON TRACK"))</f>
        <v/>
      </c>
      <c r="H19" s="8">
        <f>IF($A19="","",IF(COUNTIFS('Blind Count Entry'!$C:$C,$A19,'Blind Count Entry'!$B:$B,"&gt;="&amp;DATE(YEAR(TODAY()),MONTH(TODAY()),1),'Blind Count Entry'!$B:$B,"&lt;="&amp;EOMONTH(TODAY(),0))&gt;0,"YES","NO"))</f>
        <v/>
      </c>
    </row>
    <row r="20">
      <c r="A20" s="8">
        <f>IF('Master Inventory'!A18="","",'Master Inventory'!A18)</f>
        <v/>
      </c>
      <c r="B20" s="8">
        <f>IF($A20="","",INDEX('Master Inventory'!$B:$B,MATCH($A20,'Master Inventory'!$A:$A,0)))</f>
        <v/>
      </c>
      <c r="C20" s="8">
        <f>IF($A20="","",IFERROR(INDEX('ABC Analysis'!$F:$F,MATCH($A20,'ABC Analysis'!$A:$A,0)),""))</f>
        <v/>
      </c>
      <c r="D20" s="8">
        <f>IF($C20="","",IF($C20="A",$K$1,IF($C20="B",$M$1,$O$1)))</f>
        <v/>
      </c>
      <c r="E20" s="12" t="n">
        <v>46106</v>
      </c>
      <c r="F20" s="13">
        <f>IF(OR($A20="",$E20=""),"",$E20+$D20)</f>
        <v/>
      </c>
      <c r="G20" s="8">
        <f>IF($F20="","",IF($F20&lt;TODAY(),"OVERDUE","ON TRACK"))</f>
        <v/>
      </c>
      <c r="H20" s="8">
        <f>IF($A20="","",IF(COUNTIFS('Blind Count Entry'!$C:$C,$A20,'Blind Count Entry'!$B:$B,"&gt;="&amp;DATE(YEAR(TODAY()),MONTH(TODAY()),1),'Blind Count Entry'!$B:$B,"&lt;="&amp;EOMONTH(TODAY(),0))&gt;0,"YES","NO"))</f>
        <v/>
      </c>
    </row>
    <row r="21">
      <c r="A21" s="8">
        <f>IF('Master Inventory'!A19="","",'Master Inventory'!A19)</f>
        <v/>
      </c>
      <c r="B21" s="8">
        <f>IF($A21="","",INDEX('Master Inventory'!$B:$B,MATCH($A21,'Master Inventory'!$A:$A,0)))</f>
        <v/>
      </c>
      <c r="C21" s="8">
        <f>IF($A21="","",IFERROR(INDEX('ABC Analysis'!$F:$F,MATCH($A21,'ABC Analysis'!$A:$A,0)),""))</f>
        <v/>
      </c>
      <c r="D21" s="8">
        <f>IF($C21="","",IF($C21="A",$K$1,IF($C21="B",$M$1,$O$1)))</f>
        <v/>
      </c>
      <c r="E21" s="12" t="n">
        <v>46130</v>
      </c>
      <c r="F21" s="13">
        <f>IF(OR($A21="",$E21=""),"",$E21+$D21)</f>
        <v/>
      </c>
      <c r="G21" s="8">
        <f>IF($F21="","",IF($F21&lt;TODAY(),"OVERDUE","ON TRACK"))</f>
        <v/>
      </c>
      <c r="H21" s="8">
        <f>IF($A21="","",IF(COUNTIFS('Blind Count Entry'!$C:$C,$A21,'Blind Count Entry'!$B:$B,"&gt;="&amp;DATE(YEAR(TODAY()),MONTH(TODAY()),1),'Blind Count Entry'!$B:$B,"&lt;="&amp;EOMONTH(TODAY(),0))&gt;0,"YES","NO"))</f>
        <v/>
      </c>
    </row>
    <row r="22">
      <c r="A22" s="8">
        <f>IF('Master Inventory'!A20="","",'Master Inventory'!A20)</f>
        <v/>
      </c>
      <c r="B22" s="8">
        <f>IF($A22="","",INDEX('Master Inventory'!$B:$B,MATCH($A22,'Master Inventory'!$A:$A,0)))</f>
        <v/>
      </c>
      <c r="C22" s="8">
        <f>IF($A22="","",IFERROR(INDEX('ABC Analysis'!$F:$F,MATCH($A22,'ABC Analysis'!$A:$A,0)),""))</f>
        <v/>
      </c>
      <c r="D22" s="8">
        <f>IF($C22="","",IF($C22="A",$K$1,IF($C22="B",$M$1,$O$1)))</f>
        <v/>
      </c>
      <c r="E22" s="12" t="n">
        <v>46225</v>
      </c>
      <c r="F22" s="13">
        <f>IF(OR($A22="",$E22=""),"",$E22+$D22)</f>
        <v/>
      </c>
      <c r="G22" s="8">
        <f>IF($F22="","",IF($F22&lt;TODAY(),"OVERDUE","ON TRACK"))</f>
        <v/>
      </c>
      <c r="H22" s="8">
        <f>IF($A22="","",IF(COUNTIFS('Blind Count Entry'!$C:$C,$A22,'Blind Count Entry'!$B:$B,"&gt;="&amp;DATE(YEAR(TODAY()),MONTH(TODAY()),1),'Blind Count Entry'!$B:$B,"&lt;="&amp;EOMONTH(TODAY(),0))&gt;0,"YES","NO"))</f>
        <v/>
      </c>
    </row>
    <row r="23">
      <c r="A23" s="8">
        <f>IF('Master Inventory'!A21="","",'Master Inventory'!A21)</f>
        <v/>
      </c>
      <c r="B23" s="8">
        <f>IF($A23="","",INDEX('Master Inventory'!$B:$B,MATCH($A23,'Master Inventory'!$A:$A,0)))</f>
        <v/>
      </c>
      <c r="C23" s="8">
        <f>IF($A23="","",IFERROR(INDEX('ABC Analysis'!$F:$F,MATCH($A23,'ABC Analysis'!$A:$A,0)),""))</f>
        <v/>
      </c>
      <c r="D23" s="8">
        <f>IF($C23="","",IF($C23="A",$K$1,IF($C23="B",$M$1,$O$1)))</f>
        <v/>
      </c>
      <c r="E23" s="12" t="n">
        <v>46225</v>
      </c>
      <c r="F23" s="13">
        <f>IF(OR($A23="",$E23=""),"",$E23+$D23)</f>
        <v/>
      </c>
      <c r="G23" s="8">
        <f>IF($F23="","",IF($F23&lt;TODAY(),"OVERDUE","ON TRACK"))</f>
        <v/>
      </c>
      <c r="H23" s="8">
        <f>IF($A23="","",IF(COUNTIFS('Blind Count Entry'!$C:$C,$A23,'Blind Count Entry'!$B:$B,"&gt;="&amp;DATE(YEAR(TODAY()),MONTH(TODAY()),1),'Blind Count Entry'!$B:$B,"&lt;="&amp;EOMONTH(TODAY(),0))&gt;0,"YES","NO"))</f>
        <v/>
      </c>
    </row>
    <row r="24">
      <c r="A24" s="8">
        <f>IF('Master Inventory'!A22="","",'Master Inventory'!A22)</f>
        <v/>
      </c>
      <c r="B24" s="8">
        <f>IF($A24="","",INDEX('Master Inventory'!$B:$B,MATCH($A24,'Master Inventory'!$A:$A,0)))</f>
        <v/>
      </c>
      <c r="C24" s="8">
        <f>IF($A24="","",IFERROR(INDEX('ABC Analysis'!$F:$F,MATCH($A24,'ABC Analysis'!$A:$A,0)),""))</f>
        <v/>
      </c>
      <c r="D24" s="8">
        <f>IF($C24="","",IF($C24="A",$K$1,IF($C24="B",$M$1,$O$1)))</f>
        <v/>
      </c>
      <c r="E24" s="12" t="n"/>
      <c r="F24" s="13">
        <f>IF(OR($A24="",$E24=""),"",$E24+$D24)</f>
        <v/>
      </c>
      <c r="G24" s="8">
        <f>IF($F24="","",IF($F24&lt;TODAY(),"OVERDUE","ON TRACK"))</f>
        <v/>
      </c>
      <c r="H24" s="8">
        <f>IF($A24="","",IF(COUNTIFS('Blind Count Entry'!$C:$C,$A24,'Blind Count Entry'!$B:$B,"&gt;="&amp;DATE(YEAR(TODAY()),MONTH(TODAY()),1),'Blind Count Entry'!$B:$B,"&lt;="&amp;EOMONTH(TODAY(),0))&gt;0,"YES","NO"))</f>
        <v/>
      </c>
    </row>
    <row r="25">
      <c r="A25" s="8">
        <f>IF('Master Inventory'!A23="","",'Master Inventory'!A23)</f>
        <v/>
      </c>
      <c r="B25" s="8">
        <f>IF($A25="","",INDEX('Master Inventory'!$B:$B,MATCH($A25,'Master Inventory'!$A:$A,0)))</f>
        <v/>
      </c>
      <c r="C25" s="8">
        <f>IF($A25="","",IFERROR(INDEX('ABC Analysis'!$F:$F,MATCH($A25,'ABC Analysis'!$A:$A,0)),""))</f>
        <v/>
      </c>
      <c r="D25" s="8">
        <f>IF($C25="","",IF($C25="A",$K$1,IF($C25="B",$M$1,$O$1)))</f>
        <v/>
      </c>
      <c r="E25" s="12" t="n"/>
      <c r="F25" s="13">
        <f>IF(OR($A25="",$E25=""),"",$E25+$D25)</f>
        <v/>
      </c>
      <c r="G25" s="8">
        <f>IF($F25="","",IF($F25&lt;TODAY(),"OVERDUE","ON TRACK"))</f>
        <v/>
      </c>
      <c r="H25" s="8">
        <f>IF($A25="","",IF(COUNTIFS('Blind Count Entry'!$C:$C,$A25,'Blind Count Entry'!$B:$B,"&gt;="&amp;DATE(YEAR(TODAY()),MONTH(TODAY()),1),'Blind Count Entry'!$B:$B,"&lt;="&amp;EOMONTH(TODAY(),0))&gt;0,"YES","NO"))</f>
        <v/>
      </c>
    </row>
    <row r="26">
      <c r="A26" s="8">
        <f>IF('Master Inventory'!A24="","",'Master Inventory'!A24)</f>
        <v/>
      </c>
      <c r="B26" s="8">
        <f>IF($A26="","",INDEX('Master Inventory'!$B:$B,MATCH($A26,'Master Inventory'!$A:$A,0)))</f>
        <v/>
      </c>
      <c r="C26" s="8">
        <f>IF($A26="","",IFERROR(INDEX('ABC Analysis'!$F:$F,MATCH($A26,'ABC Analysis'!$A:$A,0)),""))</f>
        <v/>
      </c>
      <c r="D26" s="8">
        <f>IF($C26="","",IF($C26="A",$K$1,IF($C26="B",$M$1,$O$1)))</f>
        <v/>
      </c>
      <c r="E26" s="12" t="n"/>
      <c r="F26" s="13">
        <f>IF(OR($A26="",$E26=""),"",$E26+$D26)</f>
        <v/>
      </c>
      <c r="G26" s="8">
        <f>IF($F26="","",IF($F26&lt;TODAY(),"OVERDUE","ON TRACK"))</f>
        <v/>
      </c>
      <c r="H26" s="8">
        <f>IF($A26="","",IF(COUNTIFS('Blind Count Entry'!$C:$C,$A26,'Blind Count Entry'!$B:$B,"&gt;="&amp;DATE(YEAR(TODAY()),MONTH(TODAY()),1),'Blind Count Entry'!$B:$B,"&lt;="&amp;EOMONTH(TODAY(),0))&gt;0,"YES","NO"))</f>
        <v/>
      </c>
    </row>
    <row r="27">
      <c r="A27" s="8">
        <f>IF('Master Inventory'!A25="","",'Master Inventory'!A25)</f>
        <v/>
      </c>
      <c r="B27" s="8">
        <f>IF($A27="","",INDEX('Master Inventory'!$B:$B,MATCH($A27,'Master Inventory'!$A:$A,0)))</f>
        <v/>
      </c>
      <c r="C27" s="8">
        <f>IF($A27="","",IFERROR(INDEX('ABC Analysis'!$F:$F,MATCH($A27,'ABC Analysis'!$A:$A,0)),""))</f>
        <v/>
      </c>
      <c r="D27" s="8">
        <f>IF($C27="","",IF($C27="A",$K$1,IF($C27="B",$M$1,$O$1)))</f>
        <v/>
      </c>
      <c r="E27" s="12" t="n"/>
      <c r="F27" s="13">
        <f>IF(OR($A27="",$E27=""),"",$E27+$D27)</f>
        <v/>
      </c>
      <c r="G27" s="8">
        <f>IF($F27="","",IF($F27&lt;TODAY(),"OVERDUE","ON TRACK"))</f>
        <v/>
      </c>
      <c r="H27" s="8">
        <f>IF($A27="","",IF(COUNTIFS('Blind Count Entry'!$C:$C,$A27,'Blind Count Entry'!$B:$B,"&gt;="&amp;DATE(YEAR(TODAY()),MONTH(TODAY()),1),'Blind Count Entry'!$B:$B,"&lt;="&amp;EOMONTH(TODAY(),0))&gt;0,"YES","NO"))</f>
        <v/>
      </c>
    </row>
    <row r="28">
      <c r="A28" s="8">
        <f>IF('Master Inventory'!A26="","",'Master Inventory'!A26)</f>
        <v/>
      </c>
      <c r="B28" s="8">
        <f>IF($A28="","",INDEX('Master Inventory'!$B:$B,MATCH($A28,'Master Inventory'!$A:$A,0)))</f>
        <v/>
      </c>
      <c r="C28" s="8">
        <f>IF($A28="","",IFERROR(INDEX('ABC Analysis'!$F:$F,MATCH($A28,'ABC Analysis'!$A:$A,0)),""))</f>
        <v/>
      </c>
      <c r="D28" s="8">
        <f>IF($C28="","",IF($C28="A",$K$1,IF($C28="B",$M$1,$O$1)))</f>
        <v/>
      </c>
      <c r="E28" s="12" t="n"/>
      <c r="F28" s="13">
        <f>IF(OR($A28="",$E28=""),"",$E28+$D28)</f>
        <v/>
      </c>
      <c r="G28" s="8">
        <f>IF($F28="","",IF($F28&lt;TODAY(),"OVERDUE","ON TRACK"))</f>
        <v/>
      </c>
      <c r="H28" s="8">
        <f>IF($A28="","",IF(COUNTIFS('Blind Count Entry'!$C:$C,$A28,'Blind Count Entry'!$B:$B,"&gt;="&amp;DATE(YEAR(TODAY()),MONTH(TODAY()),1),'Blind Count Entry'!$B:$B,"&lt;="&amp;EOMONTH(TODAY(),0))&gt;0,"YES","NO"))</f>
        <v/>
      </c>
    </row>
    <row r="29">
      <c r="A29" s="8">
        <f>IF('Master Inventory'!A27="","",'Master Inventory'!A27)</f>
        <v/>
      </c>
      <c r="B29" s="8">
        <f>IF($A29="","",INDEX('Master Inventory'!$B:$B,MATCH($A29,'Master Inventory'!$A:$A,0)))</f>
        <v/>
      </c>
      <c r="C29" s="8">
        <f>IF($A29="","",IFERROR(INDEX('ABC Analysis'!$F:$F,MATCH($A29,'ABC Analysis'!$A:$A,0)),""))</f>
        <v/>
      </c>
      <c r="D29" s="8">
        <f>IF($C29="","",IF($C29="A",$K$1,IF($C29="B",$M$1,$O$1)))</f>
        <v/>
      </c>
      <c r="E29" s="12" t="n"/>
      <c r="F29" s="13">
        <f>IF(OR($A29="",$E29=""),"",$E29+$D29)</f>
        <v/>
      </c>
      <c r="G29" s="8">
        <f>IF($F29="","",IF($F29&lt;TODAY(),"OVERDUE","ON TRACK"))</f>
        <v/>
      </c>
      <c r="H29" s="8">
        <f>IF($A29="","",IF(COUNTIFS('Blind Count Entry'!$C:$C,$A29,'Blind Count Entry'!$B:$B,"&gt;="&amp;DATE(YEAR(TODAY()),MONTH(TODAY()),1),'Blind Count Entry'!$B:$B,"&lt;="&amp;EOMONTH(TODAY(),0))&gt;0,"YES","NO"))</f>
        <v/>
      </c>
    </row>
    <row r="30">
      <c r="A30" s="8">
        <f>IF('Master Inventory'!A28="","",'Master Inventory'!A28)</f>
        <v/>
      </c>
      <c r="B30" s="8">
        <f>IF($A30="","",INDEX('Master Inventory'!$B:$B,MATCH($A30,'Master Inventory'!$A:$A,0)))</f>
        <v/>
      </c>
      <c r="C30" s="8">
        <f>IF($A30="","",IFERROR(INDEX('ABC Analysis'!$F:$F,MATCH($A30,'ABC Analysis'!$A:$A,0)),""))</f>
        <v/>
      </c>
      <c r="D30" s="8">
        <f>IF($C30="","",IF($C30="A",$K$1,IF($C30="B",$M$1,$O$1)))</f>
        <v/>
      </c>
      <c r="E30" s="12" t="n"/>
      <c r="F30" s="13">
        <f>IF(OR($A30="",$E30=""),"",$E30+$D30)</f>
        <v/>
      </c>
      <c r="G30" s="8">
        <f>IF($F30="","",IF($F30&lt;TODAY(),"OVERDUE","ON TRACK"))</f>
        <v/>
      </c>
      <c r="H30" s="8">
        <f>IF($A30="","",IF(COUNTIFS('Blind Count Entry'!$C:$C,$A30,'Blind Count Entry'!$B:$B,"&gt;="&amp;DATE(YEAR(TODAY()),MONTH(TODAY()),1),'Blind Count Entry'!$B:$B,"&lt;="&amp;EOMONTH(TODAY(),0))&gt;0,"YES","NO"))</f>
        <v/>
      </c>
    </row>
    <row r="31">
      <c r="A31" s="8">
        <f>IF('Master Inventory'!A29="","",'Master Inventory'!A29)</f>
        <v/>
      </c>
      <c r="B31" s="8">
        <f>IF($A31="","",INDEX('Master Inventory'!$B:$B,MATCH($A31,'Master Inventory'!$A:$A,0)))</f>
        <v/>
      </c>
      <c r="C31" s="8">
        <f>IF($A31="","",IFERROR(INDEX('ABC Analysis'!$F:$F,MATCH($A31,'ABC Analysis'!$A:$A,0)),""))</f>
        <v/>
      </c>
      <c r="D31" s="8">
        <f>IF($C31="","",IF($C31="A",$K$1,IF($C31="B",$M$1,$O$1)))</f>
        <v/>
      </c>
      <c r="E31" s="12" t="n"/>
      <c r="F31" s="13">
        <f>IF(OR($A31="",$E31=""),"",$E31+$D31)</f>
        <v/>
      </c>
      <c r="G31" s="8">
        <f>IF($F31="","",IF($F31&lt;TODAY(),"OVERDUE","ON TRACK"))</f>
        <v/>
      </c>
      <c r="H31" s="8">
        <f>IF($A31="","",IF(COUNTIFS('Blind Count Entry'!$C:$C,$A31,'Blind Count Entry'!$B:$B,"&gt;="&amp;DATE(YEAR(TODAY()),MONTH(TODAY()),1),'Blind Count Entry'!$B:$B,"&lt;="&amp;EOMONTH(TODAY(),0))&gt;0,"YES","NO"))</f>
        <v/>
      </c>
    </row>
    <row r="32">
      <c r="A32" s="8">
        <f>IF('Master Inventory'!A30="","",'Master Inventory'!A30)</f>
        <v/>
      </c>
      <c r="B32" s="8">
        <f>IF($A32="","",INDEX('Master Inventory'!$B:$B,MATCH($A32,'Master Inventory'!$A:$A,0)))</f>
        <v/>
      </c>
      <c r="C32" s="8">
        <f>IF($A32="","",IFERROR(INDEX('ABC Analysis'!$F:$F,MATCH($A32,'ABC Analysis'!$A:$A,0)),""))</f>
        <v/>
      </c>
      <c r="D32" s="8">
        <f>IF($C32="","",IF($C32="A",$K$1,IF($C32="B",$M$1,$O$1)))</f>
        <v/>
      </c>
      <c r="E32" s="12" t="n"/>
      <c r="F32" s="13">
        <f>IF(OR($A32="",$E32=""),"",$E32+$D32)</f>
        <v/>
      </c>
      <c r="G32" s="8">
        <f>IF($F32="","",IF($F32&lt;TODAY(),"OVERDUE","ON TRACK"))</f>
        <v/>
      </c>
      <c r="H32" s="8">
        <f>IF($A32="","",IF(COUNTIFS('Blind Count Entry'!$C:$C,$A32,'Blind Count Entry'!$B:$B,"&gt;="&amp;DATE(YEAR(TODAY()),MONTH(TODAY()),1),'Blind Count Entry'!$B:$B,"&lt;="&amp;EOMONTH(TODAY(),0))&gt;0,"YES","NO"))</f>
        <v/>
      </c>
    </row>
    <row r="33">
      <c r="A33" s="8">
        <f>IF('Master Inventory'!A31="","",'Master Inventory'!A31)</f>
        <v/>
      </c>
      <c r="B33" s="8">
        <f>IF($A33="","",INDEX('Master Inventory'!$B:$B,MATCH($A33,'Master Inventory'!$A:$A,0)))</f>
        <v/>
      </c>
      <c r="C33" s="8">
        <f>IF($A33="","",IFERROR(INDEX('ABC Analysis'!$F:$F,MATCH($A33,'ABC Analysis'!$A:$A,0)),""))</f>
        <v/>
      </c>
      <c r="D33" s="8">
        <f>IF($C33="","",IF($C33="A",$K$1,IF($C33="B",$M$1,$O$1)))</f>
        <v/>
      </c>
      <c r="E33" s="12" t="n"/>
      <c r="F33" s="13">
        <f>IF(OR($A33="",$E33=""),"",$E33+$D33)</f>
        <v/>
      </c>
      <c r="G33" s="8">
        <f>IF($F33="","",IF($F33&lt;TODAY(),"OVERDUE","ON TRACK"))</f>
        <v/>
      </c>
      <c r="H33" s="8">
        <f>IF($A33="","",IF(COUNTIFS('Blind Count Entry'!$C:$C,$A33,'Blind Count Entry'!$B:$B,"&gt;="&amp;DATE(YEAR(TODAY()),MONTH(TODAY()),1),'Blind Count Entry'!$B:$B,"&lt;="&amp;EOMONTH(TODAY(),0))&gt;0,"YES","NO"))</f>
        <v/>
      </c>
    </row>
    <row r="34">
      <c r="A34" s="8">
        <f>IF('Master Inventory'!A32="","",'Master Inventory'!A32)</f>
        <v/>
      </c>
      <c r="B34" s="8">
        <f>IF($A34="","",INDEX('Master Inventory'!$B:$B,MATCH($A34,'Master Inventory'!$A:$A,0)))</f>
        <v/>
      </c>
      <c r="C34" s="8">
        <f>IF($A34="","",IFERROR(INDEX('ABC Analysis'!$F:$F,MATCH($A34,'ABC Analysis'!$A:$A,0)),""))</f>
        <v/>
      </c>
      <c r="D34" s="8">
        <f>IF($C34="","",IF($C34="A",$K$1,IF($C34="B",$M$1,$O$1)))</f>
        <v/>
      </c>
      <c r="E34" s="12" t="n"/>
      <c r="F34" s="13">
        <f>IF(OR($A34="",$E34=""),"",$E34+$D34)</f>
        <v/>
      </c>
      <c r="G34" s="8">
        <f>IF($F34="","",IF($F34&lt;TODAY(),"OVERDUE","ON TRACK"))</f>
        <v/>
      </c>
      <c r="H34" s="8">
        <f>IF($A34="","",IF(COUNTIFS('Blind Count Entry'!$C:$C,$A34,'Blind Count Entry'!$B:$B,"&gt;="&amp;DATE(YEAR(TODAY()),MONTH(TODAY()),1),'Blind Count Entry'!$B:$B,"&lt;="&amp;EOMONTH(TODAY(),0))&gt;0,"YES","NO"))</f>
        <v/>
      </c>
    </row>
    <row r="35">
      <c r="A35" s="8">
        <f>IF('Master Inventory'!A33="","",'Master Inventory'!A33)</f>
        <v/>
      </c>
      <c r="B35" s="8">
        <f>IF($A35="","",INDEX('Master Inventory'!$B:$B,MATCH($A35,'Master Inventory'!$A:$A,0)))</f>
        <v/>
      </c>
      <c r="C35" s="8">
        <f>IF($A35="","",IFERROR(INDEX('ABC Analysis'!$F:$F,MATCH($A35,'ABC Analysis'!$A:$A,0)),""))</f>
        <v/>
      </c>
      <c r="D35" s="8">
        <f>IF($C35="","",IF($C35="A",$K$1,IF($C35="B",$M$1,$O$1)))</f>
        <v/>
      </c>
      <c r="E35" s="12" t="n"/>
      <c r="F35" s="13">
        <f>IF(OR($A35="",$E35=""),"",$E35+$D35)</f>
        <v/>
      </c>
      <c r="G35" s="8">
        <f>IF($F35="","",IF($F35&lt;TODAY(),"OVERDUE","ON TRACK"))</f>
        <v/>
      </c>
      <c r="H35" s="8">
        <f>IF($A35="","",IF(COUNTIFS('Blind Count Entry'!$C:$C,$A35,'Blind Count Entry'!$B:$B,"&gt;="&amp;DATE(YEAR(TODAY()),MONTH(TODAY()),1),'Blind Count Entry'!$B:$B,"&lt;="&amp;EOMONTH(TODAY(),0))&gt;0,"YES","NO"))</f>
        <v/>
      </c>
    </row>
    <row r="36">
      <c r="A36" s="8">
        <f>IF('Master Inventory'!A34="","",'Master Inventory'!A34)</f>
        <v/>
      </c>
      <c r="B36" s="8">
        <f>IF($A36="","",INDEX('Master Inventory'!$B:$B,MATCH($A36,'Master Inventory'!$A:$A,0)))</f>
        <v/>
      </c>
      <c r="C36" s="8">
        <f>IF($A36="","",IFERROR(INDEX('ABC Analysis'!$F:$F,MATCH($A36,'ABC Analysis'!$A:$A,0)),""))</f>
        <v/>
      </c>
      <c r="D36" s="8">
        <f>IF($C36="","",IF($C36="A",$K$1,IF($C36="B",$M$1,$O$1)))</f>
        <v/>
      </c>
      <c r="E36" s="12" t="n"/>
      <c r="F36" s="13">
        <f>IF(OR($A36="",$E36=""),"",$E36+$D36)</f>
        <v/>
      </c>
      <c r="G36" s="8">
        <f>IF($F36="","",IF($F36&lt;TODAY(),"OVERDUE","ON TRACK"))</f>
        <v/>
      </c>
      <c r="H36" s="8">
        <f>IF($A36="","",IF(COUNTIFS('Blind Count Entry'!$C:$C,$A36,'Blind Count Entry'!$B:$B,"&gt;="&amp;DATE(YEAR(TODAY()),MONTH(TODAY()),1),'Blind Count Entry'!$B:$B,"&lt;="&amp;EOMONTH(TODAY(),0))&gt;0,"YES","NO"))</f>
        <v/>
      </c>
    </row>
    <row r="37">
      <c r="A37" s="8">
        <f>IF('Master Inventory'!A35="","",'Master Inventory'!A35)</f>
        <v/>
      </c>
      <c r="B37" s="8">
        <f>IF($A37="","",INDEX('Master Inventory'!$B:$B,MATCH($A37,'Master Inventory'!$A:$A,0)))</f>
        <v/>
      </c>
      <c r="C37" s="8">
        <f>IF($A37="","",IFERROR(INDEX('ABC Analysis'!$F:$F,MATCH($A37,'ABC Analysis'!$A:$A,0)),""))</f>
        <v/>
      </c>
      <c r="D37" s="8">
        <f>IF($C37="","",IF($C37="A",$K$1,IF($C37="B",$M$1,$O$1)))</f>
        <v/>
      </c>
      <c r="E37" s="12" t="n"/>
      <c r="F37" s="13">
        <f>IF(OR($A37="",$E37=""),"",$E37+$D37)</f>
        <v/>
      </c>
      <c r="G37" s="8">
        <f>IF($F37="","",IF($F37&lt;TODAY(),"OVERDUE","ON TRACK"))</f>
        <v/>
      </c>
      <c r="H37" s="8">
        <f>IF($A37="","",IF(COUNTIFS('Blind Count Entry'!$C:$C,$A37,'Blind Count Entry'!$B:$B,"&gt;="&amp;DATE(YEAR(TODAY()),MONTH(TODAY()),1),'Blind Count Entry'!$B:$B,"&lt;="&amp;EOMONTH(TODAY(),0))&gt;0,"YES","NO"))</f>
        <v/>
      </c>
    </row>
    <row r="38">
      <c r="A38" s="8">
        <f>IF('Master Inventory'!A36="","",'Master Inventory'!A36)</f>
        <v/>
      </c>
      <c r="B38" s="8">
        <f>IF($A38="","",INDEX('Master Inventory'!$B:$B,MATCH($A38,'Master Inventory'!$A:$A,0)))</f>
        <v/>
      </c>
      <c r="C38" s="8">
        <f>IF($A38="","",IFERROR(INDEX('ABC Analysis'!$F:$F,MATCH($A38,'ABC Analysis'!$A:$A,0)),""))</f>
        <v/>
      </c>
      <c r="D38" s="8">
        <f>IF($C38="","",IF($C38="A",$K$1,IF($C38="B",$M$1,$O$1)))</f>
        <v/>
      </c>
      <c r="E38" s="12" t="n"/>
      <c r="F38" s="13">
        <f>IF(OR($A38="",$E38=""),"",$E38+$D38)</f>
        <v/>
      </c>
      <c r="G38" s="8">
        <f>IF($F38="","",IF($F38&lt;TODAY(),"OVERDUE","ON TRACK"))</f>
        <v/>
      </c>
      <c r="H38" s="8">
        <f>IF($A38="","",IF(COUNTIFS('Blind Count Entry'!$C:$C,$A38,'Blind Count Entry'!$B:$B,"&gt;="&amp;DATE(YEAR(TODAY()),MONTH(TODAY()),1),'Blind Count Entry'!$B:$B,"&lt;="&amp;EOMONTH(TODAY(),0))&gt;0,"YES","NO"))</f>
        <v/>
      </c>
    </row>
    <row r="39">
      <c r="A39" s="8">
        <f>IF('Master Inventory'!A37="","",'Master Inventory'!A37)</f>
        <v/>
      </c>
      <c r="B39" s="8">
        <f>IF($A39="","",INDEX('Master Inventory'!$B:$B,MATCH($A39,'Master Inventory'!$A:$A,0)))</f>
        <v/>
      </c>
      <c r="C39" s="8">
        <f>IF($A39="","",IFERROR(INDEX('ABC Analysis'!$F:$F,MATCH($A39,'ABC Analysis'!$A:$A,0)),""))</f>
        <v/>
      </c>
      <c r="D39" s="8">
        <f>IF($C39="","",IF($C39="A",$K$1,IF($C39="B",$M$1,$O$1)))</f>
        <v/>
      </c>
      <c r="E39" s="12" t="n"/>
      <c r="F39" s="13">
        <f>IF(OR($A39="",$E39=""),"",$E39+$D39)</f>
        <v/>
      </c>
      <c r="G39" s="8">
        <f>IF($F39="","",IF($F39&lt;TODAY(),"OVERDUE","ON TRACK"))</f>
        <v/>
      </c>
      <c r="H39" s="8">
        <f>IF($A39="","",IF(COUNTIFS('Blind Count Entry'!$C:$C,$A39,'Blind Count Entry'!$B:$B,"&gt;="&amp;DATE(YEAR(TODAY()),MONTH(TODAY()),1),'Blind Count Entry'!$B:$B,"&lt;="&amp;EOMONTH(TODAY(),0))&gt;0,"YES","NO"))</f>
        <v/>
      </c>
    </row>
    <row r="40">
      <c r="A40" s="8">
        <f>IF('Master Inventory'!A38="","",'Master Inventory'!A38)</f>
        <v/>
      </c>
      <c r="B40" s="8">
        <f>IF($A40="","",INDEX('Master Inventory'!$B:$B,MATCH($A40,'Master Inventory'!$A:$A,0)))</f>
        <v/>
      </c>
      <c r="C40" s="8">
        <f>IF($A40="","",IFERROR(INDEX('ABC Analysis'!$F:$F,MATCH($A40,'ABC Analysis'!$A:$A,0)),""))</f>
        <v/>
      </c>
      <c r="D40" s="8">
        <f>IF($C40="","",IF($C40="A",$K$1,IF($C40="B",$M$1,$O$1)))</f>
        <v/>
      </c>
      <c r="E40" s="12" t="n"/>
      <c r="F40" s="13">
        <f>IF(OR($A40="",$E40=""),"",$E40+$D40)</f>
        <v/>
      </c>
      <c r="G40" s="8">
        <f>IF($F40="","",IF($F40&lt;TODAY(),"OVERDUE","ON TRACK"))</f>
        <v/>
      </c>
      <c r="H40" s="8">
        <f>IF($A40="","",IF(COUNTIFS('Blind Count Entry'!$C:$C,$A40,'Blind Count Entry'!$B:$B,"&gt;="&amp;DATE(YEAR(TODAY()),MONTH(TODAY()),1),'Blind Count Entry'!$B:$B,"&lt;="&amp;EOMONTH(TODAY(),0))&gt;0,"YES","NO"))</f>
        <v/>
      </c>
    </row>
    <row r="41">
      <c r="A41" s="8">
        <f>IF('Master Inventory'!A39="","",'Master Inventory'!A39)</f>
        <v/>
      </c>
      <c r="B41" s="8">
        <f>IF($A41="","",INDEX('Master Inventory'!$B:$B,MATCH($A41,'Master Inventory'!$A:$A,0)))</f>
        <v/>
      </c>
      <c r="C41" s="8">
        <f>IF($A41="","",IFERROR(INDEX('ABC Analysis'!$F:$F,MATCH($A41,'ABC Analysis'!$A:$A,0)),""))</f>
        <v/>
      </c>
      <c r="D41" s="8">
        <f>IF($C41="","",IF($C41="A",$K$1,IF($C41="B",$M$1,$O$1)))</f>
        <v/>
      </c>
      <c r="E41" s="12" t="n"/>
      <c r="F41" s="13">
        <f>IF(OR($A41="",$E41=""),"",$E41+$D41)</f>
        <v/>
      </c>
      <c r="G41" s="8">
        <f>IF($F41="","",IF($F41&lt;TODAY(),"OVERDUE","ON TRACK"))</f>
        <v/>
      </c>
      <c r="H41" s="8">
        <f>IF($A41="","",IF(COUNTIFS('Blind Count Entry'!$C:$C,$A41,'Blind Count Entry'!$B:$B,"&gt;="&amp;DATE(YEAR(TODAY()),MONTH(TODAY()),1),'Blind Count Entry'!$B:$B,"&lt;="&amp;EOMONTH(TODAY(),0))&gt;0,"YES","NO"))</f>
        <v/>
      </c>
    </row>
    <row r="42">
      <c r="A42" s="8">
        <f>IF('Master Inventory'!A40="","",'Master Inventory'!A40)</f>
        <v/>
      </c>
      <c r="B42" s="8">
        <f>IF($A42="","",INDEX('Master Inventory'!$B:$B,MATCH($A42,'Master Inventory'!$A:$A,0)))</f>
        <v/>
      </c>
      <c r="C42" s="8">
        <f>IF($A42="","",IFERROR(INDEX('ABC Analysis'!$F:$F,MATCH($A42,'ABC Analysis'!$A:$A,0)),""))</f>
        <v/>
      </c>
      <c r="D42" s="8">
        <f>IF($C42="","",IF($C42="A",$K$1,IF($C42="B",$M$1,$O$1)))</f>
        <v/>
      </c>
      <c r="E42" s="12" t="n"/>
      <c r="F42" s="13">
        <f>IF(OR($A42="",$E42=""),"",$E42+$D42)</f>
        <v/>
      </c>
      <c r="G42" s="8">
        <f>IF($F42="","",IF($F42&lt;TODAY(),"OVERDUE","ON TRACK"))</f>
        <v/>
      </c>
      <c r="H42" s="8">
        <f>IF($A42="","",IF(COUNTIFS('Blind Count Entry'!$C:$C,$A42,'Blind Count Entry'!$B:$B,"&gt;="&amp;DATE(YEAR(TODAY()),MONTH(TODAY()),1),'Blind Count Entry'!$B:$B,"&lt;="&amp;EOMONTH(TODAY(),0))&gt;0,"YES","NO"))</f>
        <v/>
      </c>
    </row>
    <row r="43">
      <c r="A43" s="8">
        <f>IF('Master Inventory'!A41="","",'Master Inventory'!A41)</f>
        <v/>
      </c>
      <c r="B43" s="8">
        <f>IF($A43="","",INDEX('Master Inventory'!$B:$B,MATCH($A43,'Master Inventory'!$A:$A,0)))</f>
        <v/>
      </c>
      <c r="C43" s="8">
        <f>IF($A43="","",IFERROR(INDEX('ABC Analysis'!$F:$F,MATCH($A43,'ABC Analysis'!$A:$A,0)),""))</f>
        <v/>
      </c>
      <c r="D43" s="8">
        <f>IF($C43="","",IF($C43="A",$K$1,IF($C43="B",$M$1,$O$1)))</f>
        <v/>
      </c>
      <c r="E43" s="12" t="n"/>
      <c r="F43" s="13">
        <f>IF(OR($A43="",$E43=""),"",$E43+$D43)</f>
        <v/>
      </c>
      <c r="G43" s="8">
        <f>IF($F43="","",IF($F43&lt;TODAY(),"OVERDUE","ON TRACK"))</f>
        <v/>
      </c>
      <c r="H43" s="8">
        <f>IF($A43="","",IF(COUNTIFS('Blind Count Entry'!$C:$C,$A43,'Blind Count Entry'!$B:$B,"&gt;="&amp;DATE(YEAR(TODAY()),MONTH(TODAY()),1),'Blind Count Entry'!$B:$B,"&lt;="&amp;EOMONTH(TODAY(),0))&gt;0,"YES","NO"))</f>
        <v/>
      </c>
    </row>
    <row r="44">
      <c r="A44" s="8">
        <f>IF('Master Inventory'!A42="","",'Master Inventory'!A42)</f>
        <v/>
      </c>
      <c r="B44" s="8">
        <f>IF($A44="","",INDEX('Master Inventory'!$B:$B,MATCH($A44,'Master Inventory'!$A:$A,0)))</f>
        <v/>
      </c>
      <c r="C44" s="8">
        <f>IF($A44="","",IFERROR(INDEX('ABC Analysis'!$F:$F,MATCH($A44,'ABC Analysis'!$A:$A,0)),""))</f>
        <v/>
      </c>
      <c r="D44" s="8">
        <f>IF($C44="","",IF($C44="A",$K$1,IF($C44="B",$M$1,$O$1)))</f>
        <v/>
      </c>
      <c r="E44" s="12" t="n"/>
      <c r="F44" s="13">
        <f>IF(OR($A44="",$E44=""),"",$E44+$D44)</f>
        <v/>
      </c>
      <c r="G44" s="8">
        <f>IF($F44="","",IF($F44&lt;TODAY(),"OVERDUE","ON TRACK"))</f>
        <v/>
      </c>
      <c r="H44" s="8">
        <f>IF($A44="","",IF(COUNTIFS('Blind Count Entry'!$C:$C,$A44,'Blind Count Entry'!$B:$B,"&gt;="&amp;DATE(YEAR(TODAY()),MONTH(TODAY()),1),'Blind Count Entry'!$B:$B,"&lt;="&amp;EOMONTH(TODAY(),0))&gt;0,"YES","NO"))</f>
        <v/>
      </c>
    </row>
    <row r="45">
      <c r="A45" s="8">
        <f>IF('Master Inventory'!A43="","",'Master Inventory'!A43)</f>
        <v/>
      </c>
      <c r="B45" s="8">
        <f>IF($A45="","",INDEX('Master Inventory'!$B:$B,MATCH($A45,'Master Inventory'!$A:$A,0)))</f>
        <v/>
      </c>
      <c r="C45" s="8">
        <f>IF($A45="","",IFERROR(INDEX('ABC Analysis'!$F:$F,MATCH($A45,'ABC Analysis'!$A:$A,0)),""))</f>
        <v/>
      </c>
      <c r="D45" s="8">
        <f>IF($C45="","",IF($C45="A",$K$1,IF($C45="B",$M$1,$O$1)))</f>
        <v/>
      </c>
      <c r="E45" s="12" t="n"/>
      <c r="F45" s="13">
        <f>IF(OR($A45="",$E45=""),"",$E45+$D45)</f>
        <v/>
      </c>
      <c r="G45" s="8">
        <f>IF($F45="","",IF($F45&lt;TODAY(),"OVERDUE","ON TRACK"))</f>
        <v/>
      </c>
      <c r="H45" s="8">
        <f>IF($A45="","",IF(COUNTIFS('Blind Count Entry'!$C:$C,$A45,'Blind Count Entry'!$B:$B,"&gt;="&amp;DATE(YEAR(TODAY()),MONTH(TODAY()),1),'Blind Count Entry'!$B:$B,"&lt;="&amp;EOMONTH(TODAY(),0))&gt;0,"YES","NO"))</f>
        <v/>
      </c>
    </row>
    <row r="46">
      <c r="A46" s="8">
        <f>IF('Master Inventory'!A44="","",'Master Inventory'!A44)</f>
        <v/>
      </c>
      <c r="B46" s="8">
        <f>IF($A46="","",INDEX('Master Inventory'!$B:$B,MATCH($A46,'Master Inventory'!$A:$A,0)))</f>
        <v/>
      </c>
      <c r="C46" s="8">
        <f>IF($A46="","",IFERROR(INDEX('ABC Analysis'!$F:$F,MATCH($A46,'ABC Analysis'!$A:$A,0)),""))</f>
        <v/>
      </c>
      <c r="D46" s="8">
        <f>IF($C46="","",IF($C46="A",$K$1,IF($C46="B",$M$1,$O$1)))</f>
        <v/>
      </c>
      <c r="E46" s="12" t="n"/>
      <c r="F46" s="13">
        <f>IF(OR($A46="",$E46=""),"",$E46+$D46)</f>
        <v/>
      </c>
      <c r="G46" s="8">
        <f>IF($F46="","",IF($F46&lt;TODAY(),"OVERDUE","ON TRACK"))</f>
        <v/>
      </c>
      <c r="H46" s="8">
        <f>IF($A46="","",IF(COUNTIFS('Blind Count Entry'!$C:$C,$A46,'Blind Count Entry'!$B:$B,"&gt;="&amp;DATE(YEAR(TODAY()),MONTH(TODAY()),1),'Blind Count Entry'!$B:$B,"&lt;="&amp;EOMONTH(TODAY(),0))&gt;0,"YES","NO"))</f>
        <v/>
      </c>
    </row>
    <row r="47">
      <c r="A47" s="8">
        <f>IF('Master Inventory'!A45="","",'Master Inventory'!A45)</f>
        <v/>
      </c>
      <c r="B47" s="8">
        <f>IF($A47="","",INDEX('Master Inventory'!$B:$B,MATCH($A47,'Master Inventory'!$A:$A,0)))</f>
        <v/>
      </c>
      <c r="C47" s="8">
        <f>IF($A47="","",IFERROR(INDEX('ABC Analysis'!$F:$F,MATCH($A47,'ABC Analysis'!$A:$A,0)),""))</f>
        <v/>
      </c>
      <c r="D47" s="8">
        <f>IF($C47="","",IF($C47="A",$K$1,IF($C47="B",$M$1,$O$1)))</f>
        <v/>
      </c>
      <c r="E47" s="12" t="n"/>
      <c r="F47" s="13">
        <f>IF(OR($A47="",$E47=""),"",$E47+$D47)</f>
        <v/>
      </c>
      <c r="G47" s="8">
        <f>IF($F47="","",IF($F47&lt;TODAY(),"OVERDUE","ON TRACK"))</f>
        <v/>
      </c>
      <c r="H47" s="8">
        <f>IF($A47="","",IF(COUNTIFS('Blind Count Entry'!$C:$C,$A47,'Blind Count Entry'!$B:$B,"&gt;="&amp;DATE(YEAR(TODAY()),MONTH(TODAY()),1),'Blind Count Entry'!$B:$B,"&lt;="&amp;EOMONTH(TODAY(),0))&gt;0,"YES","NO"))</f>
        <v/>
      </c>
    </row>
    <row r="48">
      <c r="A48" s="8">
        <f>IF('Master Inventory'!A46="","",'Master Inventory'!A46)</f>
        <v/>
      </c>
      <c r="B48" s="8">
        <f>IF($A48="","",INDEX('Master Inventory'!$B:$B,MATCH($A48,'Master Inventory'!$A:$A,0)))</f>
        <v/>
      </c>
      <c r="C48" s="8">
        <f>IF($A48="","",IFERROR(INDEX('ABC Analysis'!$F:$F,MATCH($A48,'ABC Analysis'!$A:$A,0)),""))</f>
        <v/>
      </c>
      <c r="D48" s="8">
        <f>IF($C48="","",IF($C48="A",$K$1,IF($C48="B",$M$1,$O$1)))</f>
        <v/>
      </c>
      <c r="E48" s="12" t="n"/>
      <c r="F48" s="13">
        <f>IF(OR($A48="",$E48=""),"",$E48+$D48)</f>
        <v/>
      </c>
      <c r="G48" s="8">
        <f>IF($F48="","",IF($F48&lt;TODAY(),"OVERDUE","ON TRACK"))</f>
        <v/>
      </c>
      <c r="H48" s="8">
        <f>IF($A48="","",IF(COUNTIFS('Blind Count Entry'!$C:$C,$A48,'Blind Count Entry'!$B:$B,"&gt;="&amp;DATE(YEAR(TODAY()),MONTH(TODAY()),1),'Blind Count Entry'!$B:$B,"&lt;="&amp;EOMONTH(TODAY(),0))&gt;0,"YES","NO"))</f>
        <v/>
      </c>
    </row>
    <row r="49">
      <c r="A49" s="8">
        <f>IF('Master Inventory'!A47="","",'Master Inventory'!A47)</f>
        <v/>
      </c>
      <c r="B49" s="8">
        <f>IF($A49="","",INDEX('Master Inventory'!$B:$B,MATCH($A49,'Master Inventory'!$A:$A,0)))</f>
        <v/>
      </c>
      <c r="C49" s="8">
        <f>IF($A49="","",IFERROR(INDEX('ABC Analysis'!$F:$F,MATCH($A49,'ABC Analysis'!$A:$A,0)),""))</f>
        <v/>
      </c>
      <c r="D49" s="8">
        <f>IF($C49="","",IF($C49="A",$K$1,IF($C49="B",$M$1,$O$1)))</f>
        <v/>
      </c>
      <c r="E49" s="12" t="n"/>
      <c r="F49" s="13">
        <f>IF(OR($A49="",$E49=""),"",$E49+$D49)</f>
        <v/>
      </c>
      <c r="G49" s="8">
        <f>IF($F49="","",IF($F49&lt;TODAY(),"OVERDUE","ON TRACK"))</f>
        <v/>
      </c>
      <c r="H49" s="8">
        <f>IF($A49="","",IF(COUNTIFS('Blind Count Entry'!$C:$C,$A49,'Blind Count Entry'!$B:$B,"&gt;="&amp;DATE(YEAR(TODAY()),MONTH(TODAY()),1),'Blind Count Entry'!$B:$B,"&lt;="&amp;EOMONTH(TODAY(),0))&gt;0,"YES","NO"))</f>
        <v/>
      </c>
    </row>
    <row r="50">
      <c r="A50" s="8">
        <f>IF('Master Inventory'!A48="","",'Master Inventory'!A48)</f>
        <v/>
      </c>
      <c r="B50" s="8">
        <f>IF($A50="","",INDEX('Master Inventory'!$B:$B,MATCH($A50,'Master Inventory'!$A:$A,0)))</f>
        <v/>
      </c>
      <c r="C50" s="8">
        <f>IF($A50="","",IFERROR(INDEX('ABC Analysis'!$F:$F,MATCH($A50,'ABC Analysis'!$A:$A,0)),""))</f>
        <v/>
      </c>
      <c r="D50" s="8">
        <f>IF($C50="","",IF($C50="A",$K$1,IF($C50="B",$M$1,$O$1)))</f>
        <v/>
      </c>
      <c r="E50" s="12" t="n"/>
      <c r="F50" s="13">
        <f>IF(OR($A50="",$E50=""),"",$E50+$D50)</f>
        <v/>
      </c>
      <c r="G50" s="8">
        <f>IF($F50="","",IF($F50&lt;TODAY(),"OVERDUE","ON TRACK"))</f>
        <v/>
      </c>
      <c r="H50" s="8">
        <f>IF($A50="","",IF(COUNTIFS('Blind Count Entry'!$C:$C,$A50,'Blind Count Entry'!$B:$B,"&gt;="&amp;DATE(YEAR(TODAY()),MONTH(TODAY()),1),'Blind Count Entry'!$B:$B,"&lt;="&amp;EOMONTH(TODAY(),0))&gt;0,"YES","NO"))</f>
        <v/>
      </c>
    </row>
    <row r="51">
      <c r="A51" s="8">
        <f>IF('Master Inventory'!A49="","",'Master Inventory'!A49)</f>
        <v/>
      </c>
      <c r="B51" s="8">
        <f>IF($A51="","",INDEX('Master Inventory'!$B:$B,MATCH($A51,'Master Inventory'!$A:$A,0)))</f>
        <v/>
      </c>
      <c r="C51" s="8">
        <f>IF($A51="","",IFERROR(INDEX('ABC Analysis'!$F:$F,MATCH($A51,'ABC Analysis'!$A:$A,0)),""))</f>
        <v/>
      </c>
      <c r="D51" s="8">
        <f>IF($C51="","",IF($C51="A",$K$1,IF($C51="B",$M$1,$O$1)))</f>
        <v/>
      </c>
      <c r="E51" s="12" t="n"/>
      <c r="F51" s="13">
        <f>IF(OR($A51="",$E51=""),"",$E51+$D51)</f>
        <v/>
      </c>
      <c r="G51" s="8">
        <f>IF($F51="","",IF($F51&lt;TODAY(),"OVERDUE","ON TRACK"))</f>
        <v/>
      </c>
      <c r="H51" s="8">
        <f>IF($A51="","",IF(COUNTIFS('Blind Count Entry'!$C:$C,$A51,'Blind Count Entry'!$B:$B,"&gt;="&amp;DATE(YEAR(TODAY()),MONTH(TODAY()),1),'Blind Count Entry'!$B:$B,"&lt;="&amp;EOMONTH(TODAY(),0))&gt;0,"YES","NO"))</f>
        <v/>
      </c>
    </row>
    <row r="52">
      <c r="A52" s="8">
        <f>IF('Master Inventory'!A50="","",'Master Inventory'!A50)</f>
        <v/>
      </c>
      <c r="B52" s="8">
        <f>IF($A52="","",INDEX('Master Inventory'!$B:$B,MATCH($A52,'Master Inventory'!$A:$A,0)))</f>
        <v/>
      </c>
      <c r="C52" s="8">
        <f>IF($A52="","",IFERROR(INDEX('ABC Analysis'!$F:$F,MATCH($A52,'ABC Analysis'!$A:$A,0)),""))</f>
        <v/>
      </c>
      <c r="D52" s="8">
        <f>IF($C52="","",IF($C52="A",$K$1,IF($C52="B",$M$1,$O$1)))</f>
        <v/>
      </c>
      <c r="E52" s="12" t="n"/>
      <c r="F52" s="13">
        <f>IF(OR($A52="",$E52=""),"",$E52+$D52)</f>
        <v/>
      </c>
      <c r="G52" s="8">
        <f>IF($F52="","",IF($F52&lt;TODAY(),"OVERDUE","ON TRACK"))</f>
        <v/>
      </c>
      <c r="H52" s="8">
        <f>IF($A52="","",IF(COUNTIFS('Blind Count Entry'!$C:$C,$A52,'Blind Count Entry'!$B:$B,"&gt;="&amp;DATE(YEAR(TODAY()),MONTH(TODAY()),1),'Blind Count Entry'!$B:$B,"&lt;="&amp;EOMONTH(TODAY(),0))&gt;0,"YES","NO"))</f>
        <v/>
      </c>
    </row>
    <row r="53">
      <c r="A53" s="8">
        <f>IF('Master Inventory'!A51="","",'Master Inventory'!A51)</f>
        <v/>
      </c>
      <c r="B53" s="8">
        <f>IF($A53="","",INDEX('Master Inventory'!$B:$B,MATCH($A53,'Master Inventory'!$A:$A,0)))</f>
        <v/>
      </c>
      <c r="C53" s="8">
        <f>IF($A53="","",IFERROR(INDEX('ABC Analysis'!$F:$F,MATCH($A53,'ABC Analysis'!$A:$A,0)),""))</f>
        <v/>
      </c>
      <c r="D53" s="8">
        <f>IF($C53="","",IF($C53="A",$K$1,IF($C53="B",$M$1,$O$1)))</f>
        <v/>
      </c>
      <c r="E53" s="12" t="n"/>
      <c r="F53" s="13">
        <f>IF(OR($A53="",$E53=""),"",$E53+$D53)</f>
        <v/>
      </c>
      <c r="G53" s="8">
        <f>IF($F53="","",IF($F53&lt;TODAY(),"OVERDUE","ON TRACK"))</f>
        <v/>
      </c>
      <c r="H53" s="8">
        <f>IF($A53="","",IF(COUNTIFS('Blind Count Entry'!$C:$C,$A53,'Blind Count Entry'!$B:$B,"&gt;="&amp;DATE(YEAR(TODAY()),MONTH(TODAY()),1),'Blind Count Entry'!$B:$B,"&lt;="&amp;EOMONTH(TODAY(),0))&gt;0,"YES","NO"))</f>
        <v/>
      </c>
    </row>
    <row r="54">
      <c r="A54" s="8">
        <f>IF('Master Inventory'!A52="","",'Master Inventory'!A52)</f>
        <v/>
      </c>
      <c r="B54" s="8">
        <f>IF($A54="","",INDEX('Master Inventory'!$B:$B,MATCH($A54,'Master Inventory'!$A:$A,0)))</f>
        <v/>
      </c>
      <c r="C54" s="8">
        <f>IF($A54="","",IFERROR(INDEX('ABC Analysis'!$F:$F,MATCH($A54,'ABC Analysis'!$A:$A,0)),""))</f>
        <v/>
      </c>
      <c r="D54" s="8">
        <f>IF($C54="","",IF($C54="A",$K$1,IF($C54="B",$M$1,$O$1)))</f>
        <v/>
      </c>
      <c r="E54" s="12" t="n"/>
      <c r="F54" s="13">
        <f>IF(OR($A54="",$E54=""),"",$E54+$D54)</f>
        <v/>
      </c>
      <c r="G54" s="8">
        <f>IF($F54="","",IF($F54&lt;TODAY(),"OVERDUE","ON TRACK"))</f>
        <v/>
      </c>
      <c r="H54" s="8">
        <f>IF($A54="","",IF(COUNTIFS('Blind Count Entry'!$C:$C,$A54,'Blind Count Entry'!$B:$B,"&gt;="&amp;DATE(YEAR(TODAY()),MONTH(TODAY()),1),'Blind Count Entry'!$B:$B,"&lt;="&amp;EOMONTH(TODAY(),0))&gt;0,"YES","NO"))</f>
        <v/>
      </c>
    </row>
    <row r="55">
      <c r="A55" s="8">
        <f>IF('Master Inventory'!A53="","",'Master Inventory'!A53)</f>
        <v/>
      </c>
      <c r="B55" s="8">
        <f>IF($A55="","",INDEX('Master Inventory'!$B:$B,MATCH($A55,'Master Inventory'!$A:$A,0)))</f>
        <v/>
      </c>
      <c r="C55" s="8">
        <f>IF($A55="","",IFERROR(INDEX('ABC Analysis'!$F:$F,MATCH($A55,'ABC Analysis'!$A:$A,0)),""))</f>
        <v/>
      </c>
      <c r="D55" s="8">
        <f>IF($C55="","",IF($C55="A",$K$1,IF($C55="B",$M$1,$O$1)))</f>
        <v/>
      </c>
      <c r="E55" s="12" t="n"/>
      <c r="F55" s="13">
        <f>IF(OR($A55="",$E55=""),"",$E55+$D55)</f>
        <v/>
      </c>
      <c r="G55" s="8">
        <f>IF($F55="","",IF($F55&lt;TODAY(),"OVERDUE","ON TRACK"))</f>
        <v/>
      </c>
      <c r="H55" s="8">
        <f>IF($A55="","",IF(COUNTIFS('Blind Count Entry'!$C:$C,$A55,'Blind Count Entry'!$B:$B,"&gt;="&amp;DATE(YEAR(TODAY()),MONTH(TODAY()),1),'Blind Count Entry'!$B:$B,"&lt;="&amp;EOMONTH(TODAY(),0))&gt;0,"YES","NO"))</f>
        <v/>
      </c>
    </row>
    <row r="56">
      <c r="A56" s="8">
        <f>IF('Master Inventory'!A54="","",'Master Inventory'!A54)</f>
        <v/>
      </c>
      <c r="B56" s="8">
        <f>IF($A56="","",INDEX('Master Inventory'!$B:$B,MATCH($A56,'Master Inventory'!$A:$A,0)))</f>
        <v/>
      </c>
      <c r="C56" s="8">
        <f>IF($A56="","",IFERROR(INDEX('ABC Analysis'!$F:$F,MATCH($A56,'ABC Analysis'!$A:$A,0)),""))</f>
        <v/>
      </c>
      <c r="D56" s="8">
        <f>IF($C56="","",IF($C56="A",$K$1,IF($C56="B",$M$1,$O$1)))</f>
        <v/>
      </c>
      <c r="E56" s="12" t="n"/>
      <c r="F56" s="13">
        <f>IF(OR($A56="",$E56=""),"",$E56+$D56)</f>
        <v/>
      </c>
      <c r="G56" s="8">
        <f>IF($F56="","",IF($F56&lt;TODAY(),"OVERDUE","ON TRACK"))</f>
        <v/>
      </c>
      <c r="H56" s="8">
        <f>IF($A56="","",IF(COUNTIFS('Blind Count Entry'!$C:$C,$A56,'Blind Count Entry'!$B:$B,"&gt;="&amp;DATE(YEAR(TODAY()),MONTH(TODAY()),1),'Blind Count Entry'!$B:$B,"&lt;="&amp;EOMONTH(TODAY(),0))&gt;0,"YES","NO"))</f>
        <v/>
      </c>
    </row>
    <row r="57">
      <c r="A57" s="8">
        <f>IF('Master Inventory'!A55="","",'Master Inventory'!A55)</f>
        <v/>
      </c>
      <c r="B57" s="8">
        <f>IF($A57="","",INDEX('Master Inventory'!$B:$B,MATCH($A57,'Master Inventory'!$A:$A,0)))</f>
        <v/>
      </c>
      <c r="C57" s="8">
        <f>IF($A57="","",IFERROR(INDEX('ABC Analysis'!$F:$F,MATCH($A57,'ABC Analysis'!$A:$A,0)),""))</f>
        <v/>
      </c>
      <c r="D57" s="8">
        <f>IF($C57="","",IF($C57="A",$K$1,IF($C57="B",$M$1,$O$1)))</f>
        <v/>
      </c>
      <c r="E57" s="12" t="n"/>
      <c r="F57" s="13">
        <f>IF(OR($A57="",$E57=""),"",$E57+$D57)</f>
        <v/>
      </c>
      <c r="G57" s="8">
        <f>IF($F57="","",IF($F57&lt;TODAY(),"OVERDUE","ON TRACK"))</f>
        <v/>
      </c>
      <c r="H57" s="8">
        <f>IF($A57="","",IF(COUNTIFS('Blind Count Entry'!$C:$C,$A57,'Blind Count Entry'!$B:$B,"&gt;="&amp;DATE(YEAR(TODAY()),MONTH(TODAY()),1),'Blind Count Entry'!$B:$B,"&lt;="&amp;EOMONTH(TODAY(),0))&gt;0,"YES","NO"))</f>
        <v/>
      </c>
    </row>
    <row r="58">
      <c r="A58" s="8">
        <f>IF('Master Inventory'!A56="","",'Master Inventory'!A56)</f>
        <v/>
      </c>
      <c r="B58" s="8">
        <f>IF($A58="","",INDEX('Master Inventory'!$B:$B,MATCH($A58,'Master Inventory'!$A:$A,0)))</f>
        <v/>
      </c>
      <c r="C58" s="8">
        <f>IF($A58="","",IFERROR(INDEX('ABC Analysis'!$F:$F,MATCH($A58,'ABC Analysis'!$A:$A,0)),""))</f>
        <v/>
      </c>
      <c r="D58" s="8">
        <f>IF($C58="","",IF($C58="A",$K$1,IF($C58="B",$M$1,$O$1)))</f>
        <v/>
      </c>
      <c r="E58" s="12" t="n"/>
      <c r="F58" s="13">
        <f>IF(OR($A58="",$E58=""),"",$E58+$D58)</f>
        <v/>
      </c>
      <c r="G58" s="8">
        <f>IF($F58="","",IF($F58&lt;TODAY(),"OVERDUE","ON TRACK"))</f>
        <v/>
      </c>
      <c r="H58" s="8">
        <f>IF($A58="","",IF(COUNTIFS('Blind Count Entry'!$C:$C,$A58,'Blind Count Entry'!$B:$B,"&gt;="&amp;DATE(YEAR(TODAY()),MONTH(TODAY()),1),'Blind Count Entry'!$B:$B,"&lt;="&amp;EOMONTH(TODAY(),0))&gt;0,"YES","NO"))</f>
        <v/>
      </c>
    </row>
    <row r="59">
      <c r="A59" s="8">
        <f>IF('Master Inventory'!A57="","",'Master Inventory'!A57)</f>
        <v/>
      </c>
      <c r="B59" s="8">
        <f>IF($A59="","",INDEX('Master Inventory'!$B:$B,MATCH($A59,'Master Inventory'!$A:$A,0)))</f>
        <v/>
      </c>
      <c r="C59" s="8">
        <f>IF($A59="","",IFERROR(INDEX('ABC Analysis'!$F:$F,MATCH($A59,'ABC Analysis'!$A:$A,0)),""))</f>
        <v/>
      </c>
      <c r="D59" s="8">
        <f>IF($C59="","",IF($C59="A",$K$1,IF($C59="B",$M$1,$O$1)))</f>
        <v/>
      </c>
      <c r="E59" s="12" t="n"/>
      <c r="F59" s="13">
        <f>IF(OR($A59="",$E59=""),"",$E59+$D59)</f>
        <v/>
      </c>
      <c r="G59" s="8">
        <f>IF($F59="","",IF($F59&lt;TODAY(),"OVERDUE","ON TRACK"))</f>
        <v/>
      </c>
      <c r="H59" s="8">
        <f>IF($A59="","",IF(COUNTIFS('Blind Count Entry'!$C:$C,$A59,'Blind Count Entry'!$B:$B,"&gt;="&amp;DATE(YEAR(TODAY()),MONTH(TODAY()),1),'Blind Count Entry'!$B:$B,"&lt;="&amp;EOMONTH(TODAY(),0))&gt;0,"YES","NO"))</f>
        <v/>
      </c>
    </row>
    <row r="60">
      <c r="A60" s="8">
        <f>IF('Master Inventory'!A58="","",'Master Inventory'!A58)</f>
        <v/>
      </c>
      <c r="B60" s="8">
        <f>IF($A60="","",INDEX('Master Inventory'!$B:$B,MATCH($A60,'Master Inventory'!$A:$A,0)))</f>
        <v/>
      </c>
      <c r="C60" s="8">
        <f>IF($A60="","",IFERROR(INDEX('ABC Analysis'!$F:$F,MATCH($A60,'ABC Analysis'!$A:$A,0)),""))</f>
        <v/>
      </c>
      <c r="D60" s="8">
        <f>IF($C60="","",IF($C60="A",$K$1,IF($C60="B",$M$1,$O$1)))</f>
        <v/>
      </c>
      <c r="E60" s="12" t="n"/>
      <c r="F60" s="13">
        <f>IF(OR($A60="",$E60=""),"",$E60+$D60)</f>
        <v/>
      </c>
      <c r="G60" s="8">
        <f>IF($F60="","",IF($F60&lt;TODAY(),"OVERDUE","ON TRACK"))</f>
        <v/>
      </c>
      <c r="H60" s="8">
        <f>IF($A60="","",IF(COUNTIFS('Blind Count Entry'!$C:$C,$A60,'Blind Count Entry'!$B:$B,"&gt;="&amp;DATE(YEAR(TODAY()),MONTH(TODAY()),1),'Blind Count Entry'!$B:$B,"&lt;="&amp;EOMONTH(TODAY(),0))&gt;0,"YES","NO"))</f>
        <v/>
      </c>
    </row>
    <row r="61">
      <c r="A61" s="8">
        <f>IF('Master Inventory'!A59="","",'Master Inventory'!A59)</f>
        <v/>
      </c>
      <c r="B61" s="8">
        <f>IF($A61="","",INDEX('Master Inventory'!$B:$B,MATCH($A61,'Master Inventory'!$A:$A,0)))</f>
        <v/>
      </c>
      <c r="C61" s="8">
        <f>IF($A61="","",IFERROR(INDEX('ABC Analysis'!$F:$F,MATCH($A61,'ABC Analysis'!$A:$A,0)),""))</f>
        <v/>
      </c>
      <c r="D61" s="8">
        <f>IF($C61="","",IF($C61="A",$K$1,IF($C61="B",$M$1,$O$1)))</f>
        <v/>
      </c>
      <c r="E61" s="12" t="n"/>
      <c r="F61" s="13">
        <f>IF(OR($A61="",$E61=""),"",$E61+$D61)</f>
        <v/>
      </c>
      <c r="G61" s="8">
        <f>IF($F61="","",IF($F61&lt;TODAY(),"OVERDUE","ON TRACK"))</f>
        <v/>
      </c>
      <c r="H61" s="8">
        <f>IF($A61="","",IF(COUNTIFS('Blind Count Entry'!$C:$C,$A61,'Blind Count Entry'!$B:$B,"&gt;="&amp;DATE(YEAR(TODAY()),MONTH(TODAY()),1),'Blind Count Entry'!$B:$B,"&lt;="&amp;EOMONTH(TODAY(),0))&gt;0,"YES","NO"))</f>
        <v/>
      </c>
    </row>
    <row r="62">
      <c r="A62" s="8">
        <f>IF('Master Inventory'!A60="","",'Master Inventory'!A60)</f>
        <v/>
      </c>
      <c r="B62" s="8">
        <f>IF($A62="","",INDEX('Master Inventory'!$B:$B,MATCH($A62,'Master Inventory'!$A:$A,0)))</f>
        <v/>
      </c>
      <c r="C62" s="8">
        <f>IF($A62="","",IFERROR(INDEX('ABC Analysis'!$F:$F,MATCH($A62,'ABC Analysis'!$A:$A,0)),""))</f>
        <v/>
      </c>
      <c r="D62" s="8">
        <f>IF($C62="","",IF($C62="A",$K$1,IF($C62="B",$M$1,$O$1)))</f>
        <v/>
      </c>
      <c r="E62" s="12" t="n"/>
      <c r="F62" s="13">
        <f>IF(OR($A62="",$E62=""),"",$E62+$D62)</f>
        <v/>
      </c>
      <c r="G62" s="8">
        <f>IF($F62="","",IF($F62&lt;TODAY(),"OVERDUE","ON TRACK"))</f>
        <v/>
      </c>
      <c r="H62" s="8">
        <f>IF($A62="","",IF(COUNTIFS('Blind Count Entry'!$C:$C,$A62,'Blind Count Entry'!$B:$B,"&gt;="&amp;DATE(YEAR(TODAY()),MONTH(TODAY()),1),'Blind Count Entry'!$B:$B,"&lt;="&amp;EOMONTH(TODAY(),0))&gt;0,"YES","NO"))</f>
        <v/>
      </c>
    </row>
    <row r="63">
      <c r="A63" s="8">
        <f>IF('Master Inventory'!A61="","",'Master Inventory'!A61)</f>
        <v/>
      </c>
      <c r="B63" s="8">
        <f>IF($A63="","",INDEX('Master Inventory'!$B:$B,MATCH($A63,'Master Inventory'!$A:$A,0)))</f>
        <v/>
      </c>
      <c r="C63" s="8">
        <f>IF($A63="","",IFERROR(INDEX('ABC Analysis'!$F:$F,MATCH($A63,'ABC Analysis'!$A:$A,0)),""))</f>
        <v/>
      </c>
      <c r="D63" s="8">
        <f>IF($C63="","",IF($C63="A",$K$1,IF($C63="B",$M$1,$O$1)))</f>
        <v/>
      </c>
      <c r="E63" s="12" t="n"/>
      <c r="F63" s="13">
        <f>IF(OR($A63="",$E63=""),"",$E63+$D63)</f>
        <v/>
      </c>
      <c r="G63" s="8">
        <f>IF($F63="","",IF($F63&lt;TODAY(),"OVERDUE","ON TRACK"))</f>
        <v/>
      </c>
      <c r="H63" s="8">
        <f>IF($A63="","",IF(COUNTIFS('Blind Count Entry'!$C:$C,$A63,'Blind Count Entry'!$B:$B,"&gt;="&amp;DATE(YEAR(TODAY()),MONTH(TODAY()),1),'Blind Count Entry'!$B:$B,"&lt;="&amp;EOMONTH(TODAY(),0))&gt;0,"YES","NO"))</f>
        <v/>
      </c>
    </row>
    <row r="64">
      <c r="A64" s="8">
        <f>IF('Master Inventory'!A62="","",'Master Inventory'!A62)</f>
        <v/>
      </c>
      <c r="B64" s="8">
        <f>IF($A64="","",INDEX('Master Inventory'!$B:$B,MATCH($A64,'Master Inventory'!$A:$A,0)))</f>
        <v/>
      </c>
      <c r="C64" s="8">
        <f>IF($A64="","",IFERROR(INDEX('ABC Analysis'!$F:$F,MATCH($A64,'ABC Analysis'!$A:$A,0)),""))</f>
        <v/>
      </c>
      <c r="D64" s="8">
        <f>IF($C64="","",IF($C64="A",$K$1,IF($C64="B",$M$1,$O$1)))</f>
        <v/>
      </c>
      <c r="E64" s="12" t="n"/>
      <c r="F64" s="13">
        <f>IF(OR($A64="",$E64=""),"",$E64+$D64)</f>
        <v/>
      </c>
      <c r="G64" s="8">
        <f>IF($F64="","",IF($F64&lt;TODAY(),"OVERDUE","ON TRACK"))</f>
        <v/>
      </c>
      <c r="H64" s="8">
        <f>IF($A64="","",IF(COUNTIFS('Blind Count Entry'!$C:$C,$A64,'Blind Count Entry'!$B:$B,"&gt;="&amp;DATE(YEAR(TODAY()),MONTH(TODAY()),1),'Blind Count Entry'!$B:$B,"&lt;="&amp;EOMONTH(TODAY(),0))&gt;0,"YES","NO"))</f>
        <v/>
      </c>
    </row>
    <row r="65">
      <c r="A65" s="8">
        <f>IF('Master Inventory'!A63="","",'Master Inventory'!A63)</f>
        <v/>
      </c>
      <c r="B65" s="8">
        <f>IF($A65="","",INDEX('Master Inventory'!$B:$B,MATCH($A65,'Master Inventory'!$A:$A,0)))</f>
        <v/>
      </c>
      <c r="C65" s="8">
        <f>IF($A65="","",IFERROR(INDEX('ABC Analysis'!$F:$F,MATCH($A65,'ABC Analysis'!$A:$A,0)),""))</f>
        <v/>
      </c>
      <c r="D65" s="8">
        <f>IF($C65="","",IF($C65="A",$K$1,IF($C65="B",$M$1,$O$1)))</f>
        <v/>
      </c>
      <c r="E65" s="12" t="n"/>
      <c r="F65" s="13">
        <f>IF(OR($A65="",$E65=""),"",$E65+$D65)</f>
        <v/>
      </c>
      <c r="G65" s="8">
        <f>IF($F65="","",IF($F65&lt;TODAY(),"OVERDUE","ON TRACK"))</f>
        <v/>
      </c>
      <c r="H65" s="8">
        <f>IF($A65="","",IF(COUNTIFS('Blind Count Entry'!$C:$C,$A65,'Blind Count Entry'!$B:$B,"&gt;="&amp;DATE(YEAR(TODAY()),MONTH(TODAY()),1),'Blind Count Entry'!$B:$B,"&lt;="&amp;EOMONTH(TODAY(),0))&gt;0,"YES","NO"))</f>
        <v/>
      </c>
    </row>
    <row r="66">
      <c r="A66" s="8">
        <f>IF('Master Inventory'!A64="","",'Master Inventory'!A64)</f>
        <v/>
      </c>
      <c r="B66" s="8">
        <f>IF($A66="","",INDEX('Master Inventory'!$B:$B,MATCH($A66,'Master Inventory'!$A:$A,0)))</f>
        <v/>
      </c>
      <c r="C66" s="8">
        <f>IF($A66="","",IFERROR(INDEX('ABC Analysis'!$F:$F,MATCH($A66,'ABC Analysis'!$A:$A,0)),""))</f>
        <v/>
      </c>
      <c r="D66" s="8">
        <f>IF($C66="","",IF($C66="A",$K$1,IF($C66="B",$M$1,$O$1)))</f>
        <v/>
      </c>
      <c r="E66" s="12" t="n"/>
      <c r="F66" s="13">
        <f>IF(OR($A66="",$E66=""),"",$E66+$D66)</f>
        <v/>
      </c>
      <c r="G66" s="8">
        <f>IF($F66="","",IF($F66&lt;TODAY(),"OVERDUE","ON TRACK"))</f>
        <v/>
      </c>
      <c r="H66" s="8">
        <f>IF($A66="","",IF(COUNTIFS('Blind Count Entry'!$C:$C,$A66,'Blind Count Entry'!$B:$B,"&gt;="&amp;DATE(YEAR(TODAY()),MONTH(TODAY()),1),'Blind Count Entry'!$B:$B,"&lt;="&amp;EOMONTH(TODAY(),0))&gt;0,"YES","NO"))</f>
        <v/>
      </c>
    </row>
    <row r="67">
      <c r="A67" s="8">
        <f>IF('Master Inventory'!A65="","",'Master Inventory'!A65)</f>
        <v/>
      </c>
      <c r="B67" s="8">
        <f>IF($A67="","",INDEX('Master Inventory'!$B:$B,MATCH($A67,'Master Inventory'!$A:$A,0)))</f>
        <v/>
      </c>
      <c r="C67" s="8">
        <f>IF($A67="","",IFERROR(INDEX('ABC Analysis'!$F:$F,MATCH($A67,'ABC Analysis'!$A:$A,0)),""))</f>
        <v/>
      </c>
      <c r="D67" s="8">
        <f>IF($C67="","",IF($C67="A",$K$1,IF($C67="B",$M$1,$O$1)))</f>
        <v/>
      </c>
      <c r="E67" s="12" t="n"/>
      <c r="F67" s="13">
        <f>IF(OR($A67="",$E67=""),"",$E67+$D67)</f>
        <v/>
      </c>
      <c r="G67" s="8">
        <f>IF($F67="","",IF($F67&lt;TODAY(),"OVERDUE","ON TRACK"))</f>
        <v/>
      </c>
      <c r="H67" s="8">
        <f>IF($A67="","",IF(COUNTIFS('Blind Count Entry'!$C:$C,$A67,'Blind Count Entry'!$B:$B,"&gt;="&amp;DATE(YEAR(TODAY()),MONTH(TODAY()),1),'Blind Count Entry'!$B:$B,"&lt;="&amp;EOMONTH(TODAY(),0))&gt;0,"YES","NO"))</f>
        <v/>
      </c>
    </row>
    <row r="68">
      <c r="A68" s="8">
        <f>IF('Master Inventory'!A66="","",'Master Inventory'!A66)</f>
        <v/>
      </c>
      <c r="B68" s="8">
        <f>IF($A68="","",INDEX('Master Inventory'!$B:$B,MATCH($A68,'Master Inventory'!$A:$A,0)))</f>
        <v/>
      </c>
      <c r="C68" s="8">
        <f>IF($A68="","",IFERROR(INDEX('ABC Analysis'!$F:$F,MATCH($A68,'ABC Analysis'!$A:$A,0)),""))</f>
        <v/>
      </c>
      <c r="D68" s="8">
        <f>IF($C68="","",IF($C68="A",$K$1,IF($C68="B",$M$1,$O$1)))</f>
        <v/>
      </c>
      <c r="E68" s="12" t="n"/>
      <c r="F68" s="13">
        <f>IF(OR($A68="",$E68=""),"",$E68+$D68)</f>
        <v/>
      </c>
      <c r="G68" s="8">
        <f>IF($F68="","",IF($F68&lt;TODAY(),"OVERDUE","ON TRACK"))</f>
        <v/>
      </c>
      <c r="H68" s="8">
        <f>IF($A68="","",IF(COUNTIFS('Blind Count Entry'!$C:$C,$A68,'Blind Count Entry'!$B:$B,"&gt;="&amp;DATE(YEAR(TODAY()),MONTH(TODAY()),1),'Blind Count Entry'!$B:$B,"&lt;="&amp;EOMONTH(TODAY(),0))&gt;0,"YES","NO"))</f>
        <v/>
      </c>
    </row>
    <row r="69">
      <c r="A69" s="8">
        <f>IF('Master Inventory'!A67="","",'Master Inventory'!A67)</f>
        <v/>
      </c>
      <c r="B69" s="8">
        <f>IF($A69="","",INDEX('Master Inventory'!$B:$B,MATCH($A69,'Master Inventory'!$A:$A,0)))</f>
        <v/>
      </c>
      <c r="C69" s="8">
        <f>IF($A69="","",IFERROR(INDEX('ABC Analysis'!$F:$F,MATCH($A69,'ABC Analysis'!$A:$A,0)),""))</f>
        <v/>
      </c>
      <c r="D69" s="8">
        <f>IF($C69="","",IF($C69="A",$K$1,IF($C69="B",$M$1,$O$1)))</f>
        <v/>
      </c>
      <c r="E69" s="12" t="n"/>
      <c r="F69" s="13">
        <f>IF(OR($A69="",$E69=""),"",$E69+$D69)</f>
        <v/>
      </c>
      <c r="G69" s="8">
        <f>IF($F69="","",IF($F69&lt;TODAY(),"OVERDUE","ON TRACK"))</f>
        <v/>
      </c>
      <c r="H69" s="8">
        <f>IF($A69="","",IF(COUNTIFS('Blind Count Entry'!$C:$C,$A69,'Blind Count Entry'!$B:$B,"&gt;="&amp;DATE(YEAR(TODAY()),MONTH(TODAY()),1),'Blind Count Entry'!$B:$B,"&lt;="&amp;EOMONTH(TODAY(),0))&gt;0,"YES","NO"))</f>
        <v/>
      </c>
    </row>
    <row r="70">
      <c r="A70" s="8">
        <f>IF('Master Inventory'!A68="","",'Master Inventory'!A68)</f>
        <v/>
      </c>
      <c r="B70" s="8">
        <f>IF($A70="","",INDEX('Master Inventory'!$B:$B,MATCH($A70,'Master Inventory'!$A:$A,0)))</f>
        <v/>
      </c>
      <c r="C70" s="8">
        <f>IF($A70="","",IFERROR(INDEX('ABC Analysis'!$F:$F,MATCH($A70,'ABC Analysis'!$A:$A,0)),""))</f>
        <v/>
      </c>
      <c r="D70" s="8">
        <f>IF($C70="","",IF($C70="A",$K$1,IF($C70="B",$M$1,$O$1)))</f>
        <v/>
      </c>
      <c r="E70" s="12" t="n"/>
      <c r="F70" s="13">
        <f>IF(OR($A70="",$E70=""),"",$E70+$D70)</f>
        <v/>
      </c>
      <c r="G70" s="8">
        <f>IF($F70="","",IF($F70&lt;TODAY(),"OVERDUE","ON TRACK"))</f>
        <v/>
      </c>
      <c r="H70" s="8">
        <f>IF($A70="","",IF(COUNTIFS('Blind Count Entry'!$C:$C,$A70,'Blind Count Entry'!$B:$B,"&gt;="&amp;DATE(YEAR(TODAY()),MONTH(TODAY()),1),'Blind Count Entry'!$B:$B,"&lt;="&amp;EOMONTH(TODAY(),0))&gt;0,"YES","NO"))</f>
        <v/>
      </c>
    </row>
    <row r="71">
      <c r="A71" s="8">
        <f>IF('Master Inventory'!A69="","",'Master Inventory'!A69)</f>
        <v/>
      </c>
      <c r="B71" s="8">
        <f>IF($A71="","",INDEX('Master Inventory'!$B:$B,MATCH($A71,'Master Inventory'!$A:$A,0)))</f>
        <v/>
      </c>
      <c r="C71" s="8">
        <f>IF($A71="","",IFERROR(INDEX('ABC Analysis'!$F:$F,MATCH($A71,'ABC Analysis'!$A:$A,0)),""))</f>
        <v/>
      </c>
      <c r="D71" s="8">
        <f>IF($C71="","",IF($C71="A",$K$1,IF($C71="B",$M$1,$O$1)))</f>
        <v/>
      </c>
      <c r="E71" s="12" t="n"/>
      <c r="F71" s="13">
        <f>IF(OR($A71="",$E71=""),"",$E71+$D71)</f>
        <v/>
      </c>
      <c r="G71" s="8">
        <f>IF($F71="","",IF($F71&lt;TODAY(),"OVERDUE","ON TRACK"))</f>
        <v/>
      </c>
      <c r="H71" s="8">
        <f>IF($A71="","",IF(COUNTIFS('Blind Count Entry'!$C:$C,$A71,'Blind Count Entry'!$B:$B,"&gt;="&amp;DATE(YEAR(TODAY()),MONTH(TODAY()),1),'Blind Count Entry'!$B:$B,"&lt;="&amp;EOMONTH(TODAY(),0))&gt;0,"YES","NO"))</f>
        <v/>
      </c>
    </row>
    <row r="72">
      <c r="A72" s="8">
        <f>IF('Master Inventory'!A70="","",'Master Inventory'!A70)</f>
        <v/>
      </c>
      <c r="B72" s="8">
        <f>IF($A72="","",INDEX('Master Inventory'!$B:$B,MATCH($A72,'Master Inventory'!$A:$A,0)))</f>
        <v/>
      </c>
      <c r="C72" s="8">
        <f>IF($A72="","",IFERROR(INDEX('ABC Analysis'!$F:$F,MATCH($A72,'ABC Analysis'!$A:$A,0)),""))</f>
        <v/>
      </c>
      <c r="D72" s="8">
        <f>IF($C72="","",IF($C72="A",$K$1,IF($C72="B",$M$1,$O$1)))</f>
        <v/>
      </c>
      <c r="E72" s="12" t="n"/>
      <c r="F72" s="13">
        <f>IF(OR($A72="",$E72=""),"",$E72+$D72)</f>
        <v/>
      </c>
      <c r="G72" s="8">
        <f>IF($F72="","",IF($F72&lt;TODAY(),"OVERDUE","ON TRACK"))</f>
        <v/>
      </c>
      <c r="H72" s="8">
        <f>IF($A72="","",IF(COUNTIFS('Blind Count Entry'!$C:$C,$A72,'Blind Count Entry'!$B:$B,"&gt;="&amp;DATE(YEAR(TODAY()),MONTH(TODAY()),1),'Blind Count Entry'!$B:$B,"&lt;="&amp;EOMONTH(TODAY(),0))&gt;0,"YES","NO"))</f>
        <v/>
      </c>
    </row>
    <row r="73">
      <c r="A73" s="8">
        <f>IF('Master Inventory'!A71="","",'Master Inventory'!A71)</f>
        <v/>
      </c>
      <c r="B73" s="8">
        <f>IF($A73="","",INDEX('Master Inventory'!$B:$B,MATCH($A73,'Master Inventory'!$A:$A,0)))</f>
        <v/>
      </c>
      <c r="C73" s="8">
        <f>IF($A73="","",IFERROR(INDEX('ABC Analysis'!$F:$F,MATCH($A73,'ABC Analysis'!$A:$A,0)),""))</f>
        <v/>
      </c>
      <c r="D73" s="8">
        <f>IF($C73="","",IF($C73="A",$K$1,IF($C73="B",$M$1,$O$1)))</f>
        <v/>
      </c>
      <c r="E73" s="12" t="n"/>
      <c r="F73" s="13">
        <f>IF(OR($A73="",$E73=""),"",$E73+$D73)</f>
        <v/>
      </c>
      <c r="G73" s="8">
        <f>IF($F73="","",IF($F73&lt;TODAY(),"OVERDUE","ON TRACK"))</f>
        <v/>
      </c>
      <c r="H73" s="8">
        <f>IF($A73="","",IF(COUNTIFS('Blind Count Entry'!$C:$C,$A73,'Blind Count Entry'!$B:$B,"&gt;="&amp;DATE(YEAR(TODAY()),MONTH(TODAY()),1),'Blind Count Entry'!$B:$B,"&lt;="&amp;EOMONTH(TODAY(),0))&gt;0,"YES","NO"))</f>
        <v/>
      </c>
    </row>
    <row r="74">
      <c r="A74" s="8">
        <f>IF('Master Inventory'!A72="","",'Master Inventory'!A72)</f>
        <v/>
      </c>
      <c r="B74" s="8">
        <f>IF($A74="","",INDEX('Master Inventory'!$B:$B,MATCH($A74,'Master Inventory'!$A:$A,0)))</f>
        <v/>
      </c>
      <c r="C74" s="8">
        <f>IF($A74="","",IFERROR(INDEX('ABC Analysis'!$F:$F,MATCH($A74,'ABC Analysis'!$A:$A,0)),""))</f>
        <v/>
      </c>
      <c r="D74" s="8">
        <f>IF($C74="","",IF($C74="A",$K$1,IF($C74="B",$M$1,$O$1)))</f>
        <v/>
      </c>
      <c r="E74" s="12" t="n"/>
      <c r="F74" s="13">
        <f>IF(OR($A74="",$E74=""),"",$E74+$D74)</f>
        <v/>
      </c>
      <c r="G74" s="8">
        <f>IF($F74="","",IF($F74&lt;TODAY(),"OVERDUE","ON TRACK"))</f>
        <v/>
      </c>
      <c r="H74" s="8">
        <f>IF($A74="","",IF(COUNTIFS('Blind Count Entry'!$C:$C,$A74,'Blind Count Entry'!$B:$B,"&gt;="&amp;DATE(YEAR(TODAY()),MONTH(TODAY()),1),'Blind Count Entry'!$B:$B,"&lt;="&amp;EOMONTH(TODAY(),0))&gt;0,"YES","NO"))</f>
        <v/>
      </c>
    </row>
    <row r="75">
      <c r="A75" s="8">
        <f>IF('Master Inventory'!A73="","",'Master Inventory'!A73)</f>
        <v/>
      </c>
      <c r="B75" s="8">
        <f>IF($A75="","",INDEX('Master Inventory'!$B:$B,MATCH($A75,'Master Inventory'!$A:$A,0)))</f>
        <v/>
      </c>
      <c r="C75" s="8">
        <f>IF($A75="","",IFERROR(INDEX('ABC Analysis'!$F:$F,MATCH($A75,'ABC Analysis'!$A:$A,0)),""))</f>
        <v/>
      </c>
      <c r="D75" s="8">
        <f>IF($C75="","",IF($C75="A",$K$1,IF($C75="B",$M$1,$O$1)))</f>
        <v/>
      </c>
      <c r="E75" s="12" t="n"/>
      <c r="F75" s="13">
        <f>IF(OR($A75="",$E75=""),"",$E75+$D75)</f>
        <v/>
      </c>
      <c r="G75" s="8">
        <f>IF($F75="","",IF($F75&lt;TODAY(),"OVERDUE","ON TRACK"))</f>
        <v/>
      </c>
      <c r="H75" s="8">
        <f>IF($A75="","",IF(COUNTIFS('Blind Count Entry'!$C:$C,$A75,'Blind Count Entry'!$B:$B,"&gt;="&amp;DATE(YEAR(TODAY()),MONTH(TODAY()),1),'Blind Count Entry'!$B:$B,"&lt;="&amp;EOMONTH(TODAY(),0))&gt;0,"YES","NO"))</f>
        <v/>
      </c>
    </row>
    <row r="76">
      <c r="A76" s="8">
        <f>IF('Master Inventory'!A74="","",'Master Inventory'!A74)</f>
        <v/>
      </c>
      <c r="B76" s="8">
        <f>IF($A76="","",INDEX('Master Inventory'!$B:$B,MATCH($A76,'Master Inventory'!$A:$A,0)))</f>
        <v/>
      </c>
      <c r="C76" s="8">
        <f>IF($A76="","",IFERROR(INDEX('ABC Analysis'!$F:$F,MATCH($A76,'ABC Analysis'!$A:$A,0)),""))</f>
        <v/>
      </c>
      <c r="D76" s="8">
        <f>IF($C76="","",IF($C76="A",$K$1,IF($C76="B",$M$1,$O$1)))</f>
        <v/>
      </c>
      <c r="E76" s="12" t="n"/>
      <c r="F76" s="13">
        <f>IF(OR($A76="",$E76=""),"",$E76+$D76)</f>
        <v/>
      </c>
      <c r="G76" s="8">
        <f>IF($F76="","",IF($F76&lt;TODAY(),"OVERDUE","ON TRACK"))</f>
        <v/>
      </c>
      <c r="H76" s="8">
        <f>IF($A76="","",IF(COUNTIFS('Blind Count Entry'!$C:$C,$A76,'Blind Count Entry'!$B:$B,"&gt;="&amp;DATE(YEAR(TODAY()),MONTH(TODAY()),1),'Blind Count Entry'!$B:$B,"&lt;="&amp;EOMONTH(TODAY(),0))&gt;0,"YES","NO"))</f>
        <v/>
      </c>
    </row>
    <row r="77">
      <c r="A77" s="8">
        <f>IF('Master Inventory'!A75="","",'Master Inventory'!A75)</f>
        <v/>
      </c>
      <c r="B77" s="8">
        <f>IF($A77="","",INDEX('Master Inventory'!$B:$B,MATCH($A77,'Master Inventory'!$A:$A,0)))</f>
        <v/>
      </c>
      <c r="C77" s="8">
        <f>IF($A77="","",IFERROR(INDEX('ABC Analysis'!$F:$F,MATCH($A77,'ABC Analysis'!$A:$A,0)),""))</f>
        <v/>
      </c>
      <c r="D77" s="8">
        <f>IF($C77="","",IF($C77="A",$K$1,IF($C77="B",$M$1,$O$1)))</f>
        <v/>
      </c>
      <c r="E77" s="12" t="n"/>
      <c r="F77" s="13">
        <f>IF(OR($A77="",$E77=""),"",$E77+$D77)</f>
        <v/>
      </c>
      <c r="G77" s="8">
        <f>IF($F77="","",IF($F77&lt;TODAY(),"OVERDUE","ON TRACK"))</f>
        <v/>
      </c>
      <c r="H77" s="8">
        <f>IF($A77="","",IF(COUNTIFS('Blind Count Entry'!$C:$C,$A77,'Blind Count Entry'!$B:$B,"&gt;="&amp;DATE(YEAR(TODAY()),MONTH(TODAY()),1),'Blind Count Entry'!$B:$B,"&lt;="&amp;EOMONTH(TODAY(),0))&gt;0,"YES","NO"))</f>
        <v/>
      </c>
    </row>
    <row r="78">
      <c r="A78" s="8">
        <f>IF('Master Inventory'!A76="","",'Master Inventory'!A76)</f>
        <v/>
      </c>
      <c r="B78" s="8">
        <f>IF($A78="","",INDEX('Master Inventory'!$B:$B,MATCH($A78,'Master Inventory'!$A:$A,0)))</f>
        <v/>
      </c>
      <c r="C78" s="8">
        <f>IF($A78="","",IFERROR(INDEX('ABC Analysis'!$F:$F,MATCH($A78,'ABC Analysis'!$A:$A,0)),""))</f>
        <v/>
      </c>
      <c r="D78" s="8">
        <f>IF($C78="","",IF($C78="A",$K$1,IF($C78="B",$M$1,$O$1)))</f>
        <v/>
      </c>
      <c r="E78" s="12" t="n"/>
      <c r="F78" s="13">
        <f>IF(OR($A78="",$E78=""),"",$E78+$D78)</f>
        <v/>
      </c>
      <c r="G78" s="8">
        <f>IF($F78="","",IF($F78&lt;TODAY(),"OVERDUE","ON TRACK"))</f>
        <v/>
      </c>
      <c r="H78" s="8">
        <f>IF($A78="","",IF(COUNTIFS('Blind Count Entry'!$C:$C,$A78,'Blind Count Entry'!$B:$B,"&gt;="&amp;DATE(YEAR(TODAY()),MONTH(TODAY()),1),'Blind Count Entry'!$B:$B,"&lt;="&amp;EOMONTH(TODAY(),0))&gt;0,"YES","NO"))</f>
        <v/>
      </c>
    </row>
    <row r="79">
      <c r="A79" s="8">
        <f>IF('Master Inventory'!A77="","",'Master Inventory'!A77)</f>
        <v/>
      </c>
      <c r="B79" s="8">
        <f>IF($A79="","",INDEX('Master Inventory'!$B:$B,MATCH($A79,'Master Inventory'!$A:$A,0)))</f>
        <v/>
      </c>
      <c r="C79" s="8">
        <f>IF($A79="","",IFERROR(INDEX('ABC Analysis'!$F:$F,MATCH($A79,'ABC Analysis'!$A:$A,0)),""))</f>
        <v/>
      </c>
      <c r="D79" s="8">
        <f>IF($C79="","",IF($C79="A",$K$1,IF($C79="B",$M$1,$O$1)))</f>
        <v/>
      </c>
      <c r="E79" s="12" t="n"/>
      <c r="F79" s="13">
        <f>IF(OR($A79="",$E79=""),"",$E79+$D79)</f>
        <v/>
      </c>
      <c r="G79" s="8">
        <f>IF($F79="","",IF($F79&lt;TODAY(),"OVERDUE","ON TRACK"))</f>
        <v/>
      </c>
      <c r="H79" s="8">
        <f>IF($A79="","",IF(COUNTIFS('Blind Count Entry'!$C:$C,$A79,'Blind Count Entry'!$B:$B,"&gt;="&amp;DATE(YEAR(TODAY()),MONTH(TODAY()),1),'Blind Count Entry'!$B:$B,"&lt;="&amp;EOMONTH(TODAY(),0))&gt;0,"YES","NO"))</f>
        <v/>
      </c>
    </row>
    <row r="80">
      <c r="A80" s="8">
        <f>IF('Master Inventory'!A78="","",'Master Inventory'!A78)</f>
        <v/>
      </c>
      <c r="B80" s="8">
        <f>IF($A80="","",INDEX('Master Inventory'!$B:$B,MATCH($A80,'Master Inventory'!$A:$A,0)))</f>
        <v/>
      </c>
      <c r="C80" s="8">
        <f>IF($A80="","",IFERROR(INDEX('ABC Analysis'!$F:$F,MATCH($A80,'ABC Analysis'!$A:$A,0)),""))</f>
        <v/>
      </c>
      <c r="D80" s="8">
        <f>IF($C80="","",IF($C80="A",$K$1,IF($C80="B",$M$1,$O$1)))</f>
        <v/>
      </c>
      <c r="E80" s="12" t="n"/>
      <c r="F80" s="13">
        <f>IF(OR($A80="",$E80=""),"",$E80+$D80)</f>
        <v/>
      </c>
      <c r="G80" s="8">
        <f>IF($F80="","",IF($F80&lt;TODAY(),"OVERDUE","ON TRACK"))</f>
        <v/>
      </c>
      <c r="H80" s="8">
        <f>IF($A80="","",IF(COUNTIFS('Blind Count Entry'!$C:$C,$A80,'Blind Count Entry'!$B:$B,"&gt;="&amp;DATE(YEAR(TODAY()),MONTH(TODAY()),1),'Blind Count Entry'!$B:$B,"&lt;="&amp;EOMONTH(TODAY(),0))&gt;0,"YES","NO"))</f>
        <v/>
      </c>
    </row>
    <row r="81">
      <c r="A81" s="8">
        <f>IF('Master Inventory'!A79="","",'Master Inventory'!A79)</f>
        <v/>
      </c>
      <c r="B81" s="8">
        <f>IF($A81="","",INDEX('Master Inventory'!$B:$B,MATCH($A81,'Master Inventory'!$A:$A,0)))</f>
        <v/>
      </c>
      <c r="C81" s="8">
        <f>IF($A81="","",IFERROR(INDEX('ABC Analysis'!$F:$F,MATCH($A81,'ABC Analysis'!$A:$A,0)),""))</f>
        <v/>
      </c>
      <c r="D81" s="8">
        <f>IF($C81="","",IF($C81="A",$K$1,IF($C81="B",$M$1,$O$1)))</f>
        <v/>
      </c>
      <c r="E81" s="12" t="n"/>
      <c r="F81" s="13">
        <f>IF(OR($A81="",$E81=""),"",$E81+$D81)</f>
        <v/>
      </c>
      <c r="G81" s="8">
        <f>IF($F81="","",IF($F81&lt;TODAY(),"OVERDUE","ON TRACK"))</f>
        <v/>
      </c>
      <c r="H81" s="8">
        <f>IF($A81="","",IF(COUNTIFS('Blind Count Entry'!$C:$C,$A81,'Blind Count Entry'!$B:$B,"&gt;="&amp;DATE(YEAR(TODAY()),MONTH(TODAY()),1),'Blind Count Entry'!$B:$B,"&lt;="&amp;EOMONTH(TODAY(),0))&gt;0,"YES","NO"))</f>
        <v/>
      </c>
    </row>
    <row r="82">
      <c r="A82" s="8">
        <f>IF('Master Inventory'!A80="","",'Master Inventory'!A80)</f>
        <v/>
      </c>
      <c r="B82" s="8">
        <f>IF($A82="","",INDEX('Master Inventory'!$B:$B,MATCH($A82,'Master Inventory'!$A:$A,0)))</f>
        <v/>
      </c>
      <c r="C82" s="8">
        <f>IF($A82="","",IFERROR(INDEX('ABC Analysis'!$F:$F,MATCH($A82,'ABC Analysis'!$A:$A,0)),""))</f>
        <v/>
      </c>
      <c r="D82" s="8">
        <f>IF($C82="","",IF($C82="A",$K$1,IF($C82="B",$M$1,$O$1)))</f>
        <v/>
      </c>
      <c r="E82" s="12" t="n"/>
      <c r="F82" s="13">
        <f>IF(OR($A82="",$E82=""),"",$E82+$D82)</f>
        <v/>
      </c>
      <c r="G82" s="8">
        <f>IF($F82="","",IF($F82&lt;TODAY(),"OVERDUE","ON TRACK"))</f>
        <v/>
      </c>
      <c r="H82" s="8">
        <f>IF($A82="","",IF(COUNTIFS('Blind Count Entry'!$C:$C,$A82,'Blind Count Entry'!$B:$B,"&gt;="&amp;DATE(YEAR(TODAY()),MONTH(TODAY()),1),'Blind Count Entry'!$B:$B,"&lt;="&amp;EOMONTH(TODAY(),0))&gt;0,"YES","NO"))</f>
        <v/>
      </c>
    </row>
    <row r="83">
      <c r="A83" s="8">
        <f>IF('Master Inventory'!A81="","",'Master Inventory'!A81)</f>
        <v/>
      </c>
      <c r="B83" s="8">
        <f>IF($A83="","",INDEX('Master Inventory'!$B:$B,MATCH($A83,'Master Inventory'!$A:$A,0)))</f>
        <v/>
      </c>
      <c r="C83" s="8">
        <f>IF($A83="","",IFERROR(INDEX('ABC Analysis'!$F:$F,MATCH($A83,'ABC Analysis'!$A:$A,0)),""))</f>
        <v/>
      </c>
      <c r="D83" s="8">
        <f>IF($C83="","",IF($C83="A",$K$1,IF($C83="B",$M$1,$O$1)))</f>
        <v/>
      </c>
      <c r="E83" s="12" t="n"/>
      <c r="F83" s="13">
        <f>IF(OR($A83="",$E83=""),"",$E83+$D83)</f>
        <v/>
      </c>
      <c r="G83" s="8">
        <f>IF($F83="","",IF($F83&lt;TODAY(),"OVERDUE","ON TRACK"))</f>
        <v/>
      </c>
      <c r="H83" s="8">
        <f>IF($A83="","",IF(COUNTIFS('Blind Count Entry'!$C:$C,$A83,'Blind Count Entry'!$B:$B,"&gt;="&amp;DATE(YEAR(TODAY()),MONTH(TODAY()),1),'Blind Count Entry'!$B:$B,"&lt;="&amp;EOMONTH(TODAY(),0))&gt;0,"YES","NO"))</f>
        <v/>
      </c>
    </row>
    <row r="84">
      <c r="A84" s="8">
        <f>IF('Master Inventory'!A82="","",'Master Inventory'!A82)</f>
        <v/>
      </c>
      <c r="B84" s="8">
        <f>IF($A84="","",INDEX('Master Inventory'!$B:$B,MATCH($A84,'Master Inventory'!$A:$A,0)))</f>
        <v/>
      </c>
      <c r="C84" s="8">
        <f>IF($A84="","",IFERROR(INDEX('ABC Analysis'!$F:$F,MATCH($A84,'ABC Analysis'!$A:$A,0)),""))</f>
        <v/>
      </c>
      <c r="D84" s="8">
        <f>IF($C84="","",IF($C84="A",$K$1,IF($C84="B",$M$1,$O$1)))</f>
        <v/>
      </c>
      <c r="E84" s="12" t="n"/>
      <c r="F84" s="13">
        <f>IF(OR($A84="",$E84=""),"",$E84+$D84)</f>
        <v/>
      </c>
      <c r="G84" s="8">
        <f>IF($F84="","",IF($F84&lt;TODAY(),"OVERDUE","ON TRACK"))</f>
        <v/>
      </c>
      <c r="H84" s="8">
        <f>IF($A84="","",IF(COUNTIFS('Blind Count Entry'!$C:$C,$A84,'Blind Count Entry'!$B:$B,"&gt;="&amp;DATE(YEAR(TODAY()),MONTH(TODAY()),1),'Blind Count Entry'!$B:$B,"&lt;="&amp;EOMONTH(TODAY(),0))&gt;0,"YES","NO"))</f>
        <v/>
      </c>
    </row>
    <row r="85">
      <c r="A85" s="8">
        <f>IF('Master Inventory'!A83="","",'Master Inventory'!A83)</f>
        <v/>
      </c>
      <c r="B85" s="8">
        <f>IF($A85="","",INDEX('Master Inventory'!$B:$B,MATCH($A85,'Master Inventory'!$A:$A,0)))</f>
        <v/>
      </c>
      <c r="C85" s="8">
        <f>IF($A85="","",IFERROR(INDEX('ABC Analysis'!$F:$F,MATCH($A85,'ABC Analysis'!$A:$A,0)),""))</f>
        <v/>
      </c>
      <c r="D85" s="8">
        <f>IF($C85="","",IF($C85="A",$K$1,IF($C85="B",$M$1,$O$1)))</f>
        <v/>
      </c>
      <c r="E85" s="12" t="n"/>
      <c r="F85" s="13">
        <f>IF(OR($A85="",$E85=""),"",$E85+$D85)</f>
        <v/>
      </c>
      <c r="G85" s="8">
        <f>IF($F85="","",IF($F85&lt;TODAY(),"OVERDUE","ON TRACK"))</f>
        <v/>
      </c>
      <c r="H85" s="8">
        <f>IF($A85="","",IF(COUNTIFS('Blind Count Entry'!$C:$C,$A85,'Blind Count Entry'!$B:$B,"&gt;="&amp;DATE(YEAR(TODAY()),MONTH(TODAY()),1),'Blind Count Entry'!$B:$B,"&lt;="&amp;EOMONTH(TODAY(),0))&gt;0,"YES","NO"))</f>
        <v/>
      </c>
    </row>
    <row r="86">
      <c r="A86" s="8">
        <f>IF('Master Inventory'!A84="","",'Master Inventory'!A84)</f>
        <v/>
      </c>
      <c r="B86" s="8">
        <f>IF($A86="","",INDEX('Master Inventory'!$B:$B,MATCH($A86,'Master Inventory'!$A:$A,0)))</f>
        <v/>
      </c>
      <c r="C86" s="8">
        <f>IF($A86="","",IFERROR(INDEX('ABC Analysis'!$F:$F,MATCH($A86,'ABC Analysis'!$A:$A,0)),""))</f>
        <v/>
      </c>
      <c r="D86" s="8">
        <f>IF($C86="","",IF($C86="A",$K$1,IF($C86="B",$M$1,$O$1)))</f>
        <v/>
      </c>
      <c r="E86" s="12" t="n"/>
      <c r="F86" s="13">
        <f>IF(OR($A86="",$E86=""),"",$E86+$D86)</f>
        <v/>
      </c>
      <c r="G86" s="8">
        <f>IF($F86="","",IF($F86&lt;TODAY(),"OVERDUE","ON TRACK"))</f>
        <v/>
      </c>
      <c r="H86" s="8">
        <f>IF($A86="","",IF(COUNTIFS('Blind Count Entry'!$C:$C,$A86,'Blind Count Entry'!$B:$B,"&gt;="&amp;DATE(YEAR(TODAY()),MONTH(TODAY()),1),'Blind Count Entry'!$B:$B,"&lt;="&amp;EOMONTH(TODAY(),0))&gt;0,"YES","NO"))</f>
        <v/>
      </c>
    </row>
    <row r="87">
      <c r="A87" s="8">
        <f>IF('Master Inventory'!A85="","",'Master Inventory'!A85)</f>
        <v/>
      </c>
      <c r="B87" s="8">
        <f>IF($A87="","",INDEX('Master Inventory'!$B:$B,MATCH($A87,'Master Inventory'!$A:$A,0)))</f>
        <v/>
      </c>
      <c r="C87" s="8">
        <f>IF($A87="","",IFERROR(INDEX('ABC Analysis'!$F:$F,MATCH($A87,'ABC Analysis'!$A:$A,0)),""))</f>
        <v/>
      </c>
      <c r="D87" s="8">
        <f>IF($C87="","",IF($C87="A",$K$1,IF($C87="B",$M$1,$O$1)))</f>
        <v/>
      </c>
      <c r="E87" s="12" t="n"/>
      <c r="F87" s="13">
        <f>IF(OR($A87="",$E87=""),"",$E87+$D87)</f>
        <v/>
      </c>
      <c r="G87" s="8">
        <f>IF($F87="","",IF($F87&lt;TODAY(),"OVERDUE","ON TRACK"))</f>
        <v/>
      </c>
      <c r="H87" s="8">
        <f>IF($A87="","",IF(COUNTIFS('Blind Count Entry'!$C:$C,$A87,'Blind Count Entry'!$B:$B,"&gt;="&amp;DATE(YEAR(TODAY()),MONTH(TODAY()),1),'Blind Count Entry'!$B:$B,"&lt;="&amp;EOMONTH(TODAY(),0))&gt;0,"YES","NO"))</f>
        <v/>
      </c>
    </row>
    <row r="88">
      <c r="A88" s="8">
        <f>IF('Master Inventory'!A86="","",'Master Inventory'!A86)</f>
        <v/>
      </c>
      <c r="B88" s="8">
        <f>IF($A88="","",INDEX('Master Inventory'!$B:$B,MATCH($A88,'Master Inventory'!$A:$A,0)))</f>
        <v/>
      </c>
      <c r="C88" s="8">
        <f>IF($A88="","",IFERROR(INDEX('ABC Analysis'!$F:$F,MATCH($A88,'ABC Analysis'!$A:$A,0)),""))</f>
        <v/>
      </c>
      <c r="D88" s="8">
        <f>IF($C88="","",IF($C88="A",$K$1,IF($C88="B",$M$1,$O$1)))</f>
        <v/>
      </c>
      <c r="E88" s="12" t="n"/>
      <c r="F88" s="13">
        <f>IF(OR($A88="",$E88=""),"",$E88+$D88)</f>
        <v/>
      </c>
      <c r="G88" s="8">
        <f>IF($F88="","",IF($F88&lt;TODAY(),"OVERDUE","ON TRACK"))</f>
        <v/>
      </c>
      <c r="H88" s="8">
        <f>IF($A88="","",IF(COUNTIFS('Blind Count Entry'!$C:$C,$A88,'Blind Count Entry'!$B:$B,"&gt;="&amp;DATE(YEAR(TODAY()),MONTH(TODAY()),1),'Blind Count Entry'!$B:$B,"&lt;="&amp;EOMONTH(TODAY(),0))&gt;0,"YES","NO"))</f>
        <v/>
      </c>
    </row>
    <row r="89">
      <c r="A89" s="8">
        <f>IF('Master Inventory'!A87="","",'Master Inventory'!A87)</f>
        <v/>
      </c>
      <c r="B89" s="8">
        <f>IF($A89="","",INDEX('Master Inventory'!$B:$B,MATCH($A89,'Master Inventory'!$A:$A,0)))</f>
        <v/>
      </c>
      <c r="C89" s="8">
        <f>IF($A89="","",IFERROR(INDEX('ABC Analysis'!$F:$F,MATCH($A89,'ABC Analysis'!$A:$A,0)),""))</f>
        <v/>
      </c>
      <c r="D89" s="8">
        <f>IF($C89="","",IF($C89="A",$K$1,IF($C89="B",$M$1,$O$1)))</f>
        <v/>
      </c>
      <c r="E89" s="12" t="n"/>
      <c r="F89" s="13">
        <f>IF(OR($A89="",$E89=""),"",$E89+$D89)</f>
        <v/>
      </c>
      <c r="G89" s="8">
        <f>IF($F89="","",IF($F89&lt;TODAY(),"OVERDUE","ON TRACK"))</f>
        <v/>
      </c>
      <c r="H89" s="8">
        <f>IF($A89="","",IF(COUNTIFS('Blind Count Entry'!$C:$C,$A89,'Blind Count Entry'!$B:$B,"&gt;="&amp;DATE(YEAR(TODAY()),MONTH(TODAY()),1),'Blind Count Entry'!$B:$B,"&lt;="&amp;EOMONTH(TODAY(),0))&gt;0,"YES","NO"))</f>
        <v/>
      </c>
    </row>
    <row r="90">
      <c r="A90" s="8">
        <f>IF('Master Inventory'!A88="","",'Master Inventory'!A88)</f>
        <v/>
      </c>
      <c r="B90" s="8">
        <f>IF($A90="","",INDEX('Master Inventory'!$B:$B,MATCH($A90,'Master Inventory'!$A:$A,0)))</f>
        <v/>
      </c>
      <c r="C90" s="8">
        <f>IF($A90="","",IFERROR(INDEX('ABC Analysis'!$F:$F,MATCH($A90,'ABC Analysis'!$A:$A,0)),""))</f>
        <v/>
      </c>
      <c r="D90" s="8">
        <f>IF($C90="","",IF($C90="A",$K$1,IF($C90="B",$M$1,$O$1)))</f>
        <v/>
      </c>
      <c r="E90" s="12" t="n"/>
      <c r="F90" s="13">
        <f>IF(OR($A90="",$E90=""),"",$E90+$D90)</f>
        <v/>
      </c>
      <c r="G90" s="8">
        <f>IF($F90="","",IF($F90&lt;TODAY(),"OVERDUE","ON TRACK"))</f>
        <v/>
      </c>
      <c r="H90" s="8">
        <f>IF($A90="","",IF(COUNTIFS('Blind Count Entry'!$C:$C,$A90,'Blind Count Entry'!$B:$B,"&gt;="&amp;DATE(YEAR(TODAY()),MONTH(TODAY()),1),'Blind Count Entry'!$B:$B,"&lt;="&amp;EOMONTH(TODAY(),0))&gt;0,"YES","NO"))</f>
        <v/>
      </c>
    </row>
    <row r="91">
      <c r="A91" s="8">
        <f>IF('Master Inventory'!A89="","",'Master Inventory'!A89)</f>
        <v/>
      </c>
      <c r="B91" s="8">
        <f>IF($A91="","",INDEX('Master Inventory'!$B:$B,MATCH($A91,'Master Inventory'!$A:$A,0)))</f>
        <v/>
      </c>
      <c r="C91" s="8">
        <f>IF($A91="","",IFERROR(INDEX('ABC Analysis'!$F:$F,MATCH($A91,'ABC Analysis'!$A:$A,0)),""))</f>
        <v/>
      </c>
      <c r="D91" s="8">
        <f>IF($C91="","",IF($C91="A",$K$1,IF($C91="B",$M$1,$O$1)))</f>
        <v/>
      </c>
      <c r="E91" s="12" t="n"/>
      <c r="F91" s="13">
        <f>IF(OR($A91="",$E91=""),"",$E91+$D91)</f>
        <v/>
      </c>
      <c r="G91" s="8">
        <f>IF($F91="","",IF($F91&lt;TODAY(),"OVERDUE","ON TRACK"))</f>
        <v/>
      </c>
      <c r="H91" s="8">
        <f>IF($A91="","",IF(COUNTIFS('Blind Count Entry'!$C:$C,$A91,'Blind Count Entry'!$B:$B,"&gt;="&amp;DATE(YEAR(TODAY()),MONTH(TODAY()),1),'Blind Count Entry'!$B:$B,"&lt;="&amp;EOMONTH(TODAY(),0))&gt;0,"YES","NO"))</f>
        <v/>
      </c>
    </row>
    <row r="92">
      <c r="A92" s="8">
        <f>IF('Master Inventory'!A90="","",'Master Inventory'!A90)</f>
        <v/>
      </c>
      <c r="B92" s="8">
        <f>IF($A92="","",INDEX('Master Inventory'!$B:$B,MATCH($A92,'Master Inventory'!$A:$A,0)))</f>
        <v/>
      </c>
      <c r="C92" s="8">
        <f>IF($A92="","",IFERROR(INDEX('ABC Analysis'!$F:$F,MATCH($A92,'ABC Analysis'!$A:$A,0)),""))</f>
        <v/>
      </c>
      <c r="D92" s="8">
        <f>IF($C92="","",IF($C92="A",$K$1,IF($C92="B",$M$1,$O$1)))</f>
        <v/>
      </c>
      <c r="E92" s="12" t="n"/>
      <c r="F92" s="13">
        <f>IF(OR($A92="",$E92=""),"",$E92+$D92)</f>
        <v/>
      </c>
      <c r="G92" s="8">
        <f>IF($F92="","",IF($F92&lt;TODAY(),"OVERDUE","ON TRACK"))</f>
        <v/>
      </c>
      <c r="H92" s="8">
        <f>IF($A92="","",IF(COUNTIFS('Blind Count Entry'!$C:$C,$A92,'Blind Count Entry'!$B:$B,"&gt;="&amp;DATE(YEAR(TODAY()),MONTH(TODAY()),1),'Blind Count Entry'!$B:$B,"&lt;="&amp;EOMONTH(TODAY(),0))&gt;0,"YES","NO"))</f>
        <v/>
      </c>
    </row>
    <row r="93">
      <c r="A93" s="8">
        <f>IF('Master Inventory'!A91="","",'Master Inventory'!A91)</f>
        <v/>
      </c>
      <c r="B93" s="8">
        <f>IF($A93="","",INDEX('Master Inventory'!$B:$B,MATCH($A93,'Master Inventory'!$A:$A,0)))</f>
        <v/>
      </c>
      <c r="C93" s="8">
        <f>IF($A93="","",IFERROR(INDEX('ABC Analysis'!$F:$F,MATCH($A93,'ABC Analysis'!$A:$A,0)),""))</f>
        <v/>
      </c>
      <c r="D93" s="8">
        <f>IF($C93="","",IF($C93="A",$K$1,IF($C93="B",$M$1,$O$1)))</f>
        <v/>
      </c>
      <c r="E93" s="12" t="n"/>
      <c r="F93" s="13">
        <f>IF(OR($A93="",$E93=""),"",$E93+$D93)</f>
        <v/>
      </c>
      <c r="G93" s="8">
        <f>IF($F93="","",IF($F93&lt;TODAY(),"OVERDUE","ON TRACK"))</f>
        <v/>
      </c>
      <c r="H93" s="8">
        <f>IF($A93="","",IF(COUNTIFS('Blind Count Entry'!$C:$C,$A93,'Blind Count Entry'!$B:$B,"&gt;="&amp;DATE(YEAR(TODAY()),MONTH(TODAY()),1),'Blind Count Entry'!$B:$B,"&lt;="&amp;EOMONTH(TODAY(),0))&gt;0,"YES","NO"))</f>
        <v/>
      </c>
    </row>
    <row r="94">
      <c r="A94" s="8">
        <f>IF('Master Inventory'!A92="","",'Master Inventory'!A92)</f>
        <v/>
      </c>
      <c r="B94" s="8">
        <f>IF($A94="","",INDEX('Master Inventory'!$B:$B,MATCH($A94,'Master Inventory'!$A:$A,0)))</f>
        <v/>
      </c>
      <c r="C94" s="8">
        <f>IF($A94="","",IFERROR(INDEX('ABC Analysis'!$F:$F,MATCH($A94,'ABC Analysis'!$A:$A,0)),""))</f>
        <v/>
      </c>
      <c r="D94" s="8">
        <f>IF($C94="","",IF($C94="A",$K$1,IF($C94="B",$M$1,$O$1)))</f>
        <v/>
      </c>
      <c r="E94" s="12" t="n"/>
      <c r="F94" s="13">
        <f>IF(OR($A94="",$E94=""),"",$E94+$D94)</f>
        <v/>
      </c>
      <c r="G94" s="8">
        <f>IF($F94="","",IF($F94&lt;TODAY(),"OVERDUE","ON TRACK"))</f>
        <v/>
      </c>
      <c r="H94" s="8">
        <f>IF($A94="","",IF(COUNTIFS('Blind Count Entry'!$C:$C,$A94,'Blind Count Entry'!$B:$B,"&gt;="&amp;DATE(YEAR(TODAY()),MONTH(TODAY()),1),'Blind Count Entry'!$B:$B,"&lt;="&amp;EOMONTH(TODAY(),0))&gt;0,"YES","NO"))</f>
        <v/>
      </c>
    </row>
    <row r="95">
      <c r="A95" s="8">
        <f>IF('Master Inventory'!A93="","",'Master Inventory'!A93)</f>
        <v/>
      </c>
      <c r="B95" s="8">
        <f>IF($A95="","",INDEX('Master Inventory'!$B:$B,MATCH($A95,'Master Inventory'!$A:$A,0)))</f>
        <v/>
      </c>
      <c r="C95" s="8">
        <f>IF($A95="","",IFERROR(INDEX('ABC Analysis'!$F:$F,MATCH($A95,'ABC Analysis'!$A:$A,0)),""))</f>
        <v/>
      </c>
      <c r="D95" s="8">
        <f>IF($C95="","",IF($C95="A",$K$1,IF($C95="B",$M$1,$O$1)))</f>
        <v/>
      </c>
      <c r="E95" s="12" t="n"/>
      <c r="F95" s="13">
        <f>IF(OR($A95="",$E95=""),"",$E95+$D95)</f>
        <v/>
      </c>
      <c r="G95" s="8">
        <f>IF($F95="","",IF($F95&lt;TODAY(),"OVERDUE","ON TRACK"))</f>
        <v/>
      </c>
      <c r="H95" s="8">
        <f>IF($A95="","",IF(COUNTIFS('Blind Count Entry'!$C:$C,$A95,'Blind Count Entry'!$B:$B,"&gt;="&amp;DATE(YEAR(TODAY()),MONTH(TODAY()),1),'Blind Count Entry'!$B:$B,"&lt;="&amp;EOMONTH(TODAY(),0))&gt;0,"YES","NO"))</f>
        <v/>
      </c>
    </row>
    <row r="96">
      <c r="A96" s="8">
        <f>IF('Master Inventory'!A94="","",'Master Inventory'!A94)</f>
        <v/>
      </c>
      <c r="B96" s="8">
        <f>IF($A96="","",INDEX('Master Inventory'!$B:$B,MATCH($A96,'Master Inventory'!$A:$A,0)))</f>
        <v/>
      </c>
      <c r="C96" s="8">
        <f>IF($A96="","",IFERROR(INDEX('ABC Analysis'!$F:$F,MATCH($A96,'ABC Analysis'!$A:$A,0)),""))</f>
        <v/>
      </c>
      <c r="D96" s="8">
        <f>IF($C96="","",IF($C96="A",$K$1,IF($C96="B",$M$1,$O$1)))</f>
        <v/>
      </c>
      <c r="E96" s="12" t="n"/>
      <c r="F96" s="13">
        <f>IF(OR($A96="",$E96=""),"",$E96+$D96)</f>
        <v/>
      </c>
      <c r="G96" s="8">
        <f>IF($F96="","",IF($F96&lt;TODAY(),"OVERDUE","ON TRACK"))</f>
        <v/>
      </c>
      <c r="H96" s="8">
        <f>IF($A96="","",IF(COUNTIFS('Blind Count Entry'!$C:$C,$A96,'Blind Count Entry'!$B:$B,"&gt;="&amp;DATE(YEAR(TODAY()),MONTH(TODAY()),1),'Blind Count Entry'!$B:$B,"&lt;="&amp;EOMONTH(TODAY(),0))&gt;0,"YES","NO"))</f>
        <v/>
      </c>
    </row>
    <row r="97">
      <c r="A97" s="8">
        <f>IF('Master Inventory'!A95="","",'Master Inventory'!A95)</f>
        <v/>
      </c>
      <c r="B97" s="8">
        <f>IF($A97="","",INDEX('Master Inventory'!$B:$B,MATCH($A97,'Master Inventory'!$A:$A,0)))</f>
        <v/>
      </c>
      <c r="C97" s="8">
        <f>IF($A97="","",IFERROR(INDEX('ABC Analysis'!$F:$F,MATCH($A97,'ABC Analysis'!$A:$A,0)),""))</f>
        <v/>
      </c>
      <c r="D97" s="8">
        <f>IF($C97="","",IF($C97="A",$K$1,IF($C97="B",$M$1,$O$1)))</f>
        <v/>
      </c>
      <c r="E97" s="12" t="n"/>
      <c r="F97" s="13">
        <f>IF(OR($A97="",$E97=""),"",$E97+$D97)</f>
        <v/>
      </c>
      <c r="G97" s="8">
        <f>IF($F97="","",IF($F97&lt;TODAY(),"OVERDUE","ON TRACK"))</f>
        <v/>
      </c>
      <c r="H97" s="8">
        <f>IF($A97="","",IF(COUNTIFS('Blind Count Entry'!$C:$C,$A97,'Blind Count Entry'!$B:$B,"&gt;="&amp;DATE(YEAR(TODAY()),MONTH(TODAY()),1),'Blind Count Entry'!$B:$B,"&lt;="&amp;EOMONTH(TODAY(),0))&gt;0,"YES","NO"))</f>
        <v/>
      </c>
    </row>
    <row r="98">
      <c r="A98" s="8">
        <f>IF('Master Inventory'!A96="","",'Master Inventory'!A96)</f>
        <v/>
      </c>
      <c r="B98" s="8">
        <f>IF($A98="","",INDEX('Master Inventory'!$B:$B,MATCH($A98,'Master Inventory'!$A:$A,0)))</f>
        <v/>
      </c>
      <c r="C98" s="8">
        <f>IF($A98="","",IFERROR(INDEX('ABC Analysis'!$F:$F,MATCH($A98,'ABC Analysis'!$A:$A,0)),""))</f>
        <v/>
      </c>
      <c r="D98" s="8">
        <f>IF($C98="","",IF($C98="A",$K$1,IF($C98="B",$M$1,$O$1)))</f>
        <v/>
      </c>
      <c r="E98" s="12" t="n"/>
      <c r="F98" s="13">
        <f>IF(OR($A98="",$E98=""),"",$E98+$D98)</f>
        <v/>
      </c>
      <c r="G98" s="8">
        <f>IF($F98="","",IF($F98&lt;TODAY(),"OVERDUE","ON TRACK"))</f>
        <v/>
      </c>
      <c r="H98" s="8">
        <f>IF($A98="","",IF(COUNTIFS('Blind Count Entry'!$C:$C,$A98,'Blind Count Entry'!$B:$B,"&gt;="&amp;DATE(YEAR(TODAY()),MONTH(TODAY()),1),'Blind Count Entry'!$B:$B,"&lt;="&amp;EOMONTH(TODAY(),0))&gt;0,"YES","NO"))</f>
        <v/>
      </c>
    </row>
    <row r="99">
      <c r="A99" s="8">
        <f>IF('Master Inventory'!A97="","",'Master Inventory'!A97)</f>
        <v/>
      </c>
      <c r="B99" s="8">
        <f>IF($A99="","",INDEX('Master Inventory'!$B:$B,MATCH($A99,'Master Inventory'!$A:$A,0)))</f>
        <v/>
      </c>
      <c r="C99" s="8">
        <f>IF($A99="","",IFERROR(INDEX('ABC Analysis'!$F:$F,MATCH($A99,'ABC Analysis'!$A:$A,0)),""))</f>
        <v/>
      </c>
      <c r="D99" s="8">
        <f>IF($C99="","",IF($C99="A",$K$1,IF($C99="B",$M$1,$O$1)))</f>
        <v/>
      </c>
      <c r="E99" s="12" t="n"/>
      <c r="F99" s="13">
        <f>IF(OR($A99="",$E99=""),"",$E99+$D99)</f>
        <v/>
      </c>
      <c r="G99" s="8">
        <f>IF($F99="","",IF($F99&lt;TODAY(),"OVERDUE","ON TRACK"))</f>
        <v/>
      </c>
      <c r="H99" s="8">
        <f>IF($A99="","",IF(COUNTIFS('Blind Count Entry'!$C:$C,$A99,'Blind Count Entry'!$B:$B,"&gt;="&amp;DATE(YEAR(TODAY()),MONTH(TODAY()),1),'Blind Count Entry'!$B:$B,"&lt;="&amp;EOMONTH(TODAY(),0))&gt;0,"YES","NO"))</f>
        <v/>
      </c>
    </row>
    <row r="100">
      <c r="A100" s="8">
        <f>IF('Master Inventory'!A98="","",'Master Inventory'!A98)</f>
        <v/>
      </c>
      <c r="B100" s="8">
        <f>IF($A100="","",INDEX('Master Inventory'!$B:$B,MATCH($A100,'Master Inventory'!$A:$A,0)))</f>
        <v/>
      </c>
      <c r="C100" s="8">
        <f>IF($A100="","",IFERROR(INDEX('ABC Analysis'!$F:$F,MATCH($A100,'ABC Analysis'!$A:$A,0)),""))</f>
        <v/>
      </c>
      <c r="D100" s="8">
        <f>IF($C100="","",IF($C100="A",$K$1,IF($C100="B",$M$1,$O$1)))</f>
        <v/>
      </c>
      <c r="E100" s="12" t="n"/>
      <c r="F100" s="13">
        <f>IF(OR($A100="",$E100=""),"",$E100+$D100)</f>
        <v/>
      </c>
      <c r="G100" s="8">
        <f>IF($F100="","",IF($F100&lt;TODAY(),"OVERDUE","ON TRACK"))</f>
        <v/>
      </c>
      <c r="H100" s="8">
        <f>IF($A100="","",IF(COUNTIFS('Blind Count Entry'!$C:$C,$A100,'Blind Count Entry'!$B:$B,"&gt;="&amp;DATE(YEAR(TODAY()),MONTH(TODAY()),1),'Blind Count Entry'!$B:$B,"&lt;="&amp;EOMONTH(TODAY(),0))&gt;0,"YES","NO"))</f>
        <v/>
      </c>
    </row>
    <row r="101">
      <c r="A101" s="8">
        <f>IF('Master Inventory'!A99="","",'Master Inventory'!A99)</f>
        <v/>
      </c>
      <c r="B101" s="8">
        <f>IF($A101="","",INDEX('Master Inventory'!$B:$B,MATCH($A101,'Master Inventory'!$A:$A,0)))</f>
        <v/>
      </c>
      <c r="C101" s="8">
        <f>IF($A101="","",IFERROR(INDEX('ABC Analysis'!$F:$F,MATCH($A101,'ABC Analysis'!$A:$A,0)),""))</f>
        <v/>
      </c>
      <c r="D101" s="8">
        <f>IF($C101="","",IF($C101="A",$K$1,IF($C101="B",$M$1,$O$1)))</f>
        <v/>
      </c>
      <c r="E101" s="12" t="n"/>
      <c r="F101" s="13">
        <f>IF(OR($A101="",$E101=""),"",$E101+$D101)</f>
        <v/>
      </c>
      <c r="G101" s="8">
        <f>IF($F101="","",IF($F101&lt;TODAY(),"OVERDUE","ON TRACK"))</f>
        <v/>
      </c>
      <c r="H101" s="8">
        <f>IF($A101="","",IF(COUNTIFS('Blind Count Entry'!$C:$C,$A101,'Blind Count Entry'!$B:$B,"&gt;="&amp;DATE(YEAR(TODAY()),MONTH(TODAY()),1),'Blind Count Entry'!$B:$B,"&lt;="&amp;EOMONTH(TODAY(),0))&gt;0,"YES","NO"))</f>
        <v/>
      </c>
    </row>
    <row r="102">
      <c r="A102" s="8">
        <f>IF('Master Inventory'!A100="","",'Master Inventory'!A100)</f>
        <v/>
      </c>
      <c r="B102" s="8">
        <f>IF($A102="","",INDEX('Master Inventory'!$B:$B,MATCH($A102,'Master Inventory'!$A:$A,0)))</f>
        <v/>
      </c>
      <c r="C102" s="8">
        <f>IF($A102="","",IFERROR(INDEX('ABC Analysis'!$F:$F,MATCH($A102,'ABC Analysis'!$A:$A,0)),""))</f>
        <v/>
      </c>
      <c r="D102" s="8">
        <f>IF($C102="","",IF($C102="A",$K$1,IF($C102="B",$M$1,$O$1)))</f>
        <v/>
      </c>
      <c r="E102" s="12" t="n"/>
      <c r="F102" s="13">
        <f>IF(OR($A102="",$E102=""),"",$E102+$D102)</f>
        <v/>
      </c>
      <c r="G102" s="8">
        <f>IF($F102="","",IF($F102&lt;TODAY(),"OVERDUE","ON TRACK"))</f>
        <v/>
      </c>
      <c r="H102" s="8">
        <f>IF($A102="","",IF(COUNTIFS('Blind Count Entry'!$C:$C,$A102,'Blind Count Entry'!$B:$B,"&gt;="&amp;DATE(YEAR(TODAY()),MONTH(TODAY()),1),'Blind Count Entry'!$B:$B,"&lt;="&amp;EOMONTH(TODAY(),0))&gt;0,"YES","NO"))</f>
        <v/>
      </c>
    </row>
    <row r="103">
      <c r="A103" s="8">
        <f>IF('Master Inventory'!A101="","",'Master Inventory'!A101)</f>
        <v/>
      </c>
      <c r="B103" s="8">
        <f>IF($A103="","",INDEX('Master Inventory'!$B:$B,MATCH($A103,'Master Inventory'!$A:$A,0)))</f>
        <v/>
      </c>
      <c r="C103" s="8">
        <f>IF($A103="","",IFERROR(INDEX('ABC Analysis'!$F:$F,MATCH($A103,'ABC Analysis'!$A:$A,0)),""))</f>
        <v/>
      </c>
      <c r="D103" s="8">
        <f>IF($C103="","",IF($C103="A",$K$1,IF($C103="B",$M$1,$O$1)))</f>
        <v/>
      </c>
      <c r="E103" s="12" t="n"/>
      <c r="F103" s="13">
        <f>IF(OR($A103="",$E103=""),"",$E103+$D103)</f>
        <v/>
      </c>
      <c r="G103" s="8">
        <f>IF($F103="","",IF($F103&lt;TODAY(),"OVERDUE","ON TRACK"))</f>
        <v/>
      </c>
      <c r="H103" s="8">
        <f>IF($A103="","",IF(COUNTIFS('Blind Count Entry'!$C:$C,$A103,'Blind Count Entry'!$B:$B,"&gt;="&amp;DATE(YEAR(TODAY()),MONTH(TODAY()),1),'Blind Count Entry'!$B:$B,"&lt;="&amp;EOMONTH(TODAY(),0))&gt;0,"YES","NO"))</f>
        <v/>
      </c>
    </row>
    <row r="104">
      <c r="A104" s="8">
        <f>IF('Master Inventory'!A102="","",'Master Inventory'!A102)</f>
        <v/>
      </c>
      <c r="B104" s="8">
        <f>IF($A104="","",INDEX('Master Inventory'!$B:$B,MATCH($A104,'Master Inventory'!$A:$A,0)))</f>
        <v/>
      </c>
      <c r="C104" s="8">
        <f>IF($A104="","",IFERROR(INDEX('ABC Analysis'!$F:$F,MATCH($A104,'ABC Analysis'!$A:$A,0)),""))</f>
        <v/>
      </c>
      <c r="D104" s="8">
        <f>IF($C104="","",IF($C104="A",$K$1,IF($C104="B",$M$1,$O$1)))</f>
        <v/>
      </c>
      <c r="E104" s="12" t="n"/>
      <c r="F104" s="13">
        <f>IF(OR($A104="",$E104=""),"",$E104+$D104)</f>
        <v/>
      </c>
      <c r="G104" s="8">
        <f>IF($F104="","",IF($F104&lt;TODAY(),"OVERDUE","ON TRACK"))</f>
        <v/>
      </c>
      <c r="H104" s="8">
        <f>IF($A104="","",IF(COUNTIFS('Blind Count Entry'!$C:$C,$A104,'Blind Count Entry'!$B:$B,"&gt;="&amp;DATE(YEAR(TODAY()),MONTH(TODAY()),1),'Blind Count Entry'!$B:$B,"&lt;="&amp;EOMONTH(TODAY(),0))&gt;0,"YES","NO"))</f>
        <v/>
      </c>
    </row>
    <row r="105">
      <c r="A105" s="8">
        <f>IF('Master Inventory'!A103="","",'Master Inventory'!A103)</f>
        <v/>
      </c>
      <c r="B105" s="8">
        <f>IF($A105="","",INDEX('Master Inventory'!$B:$B,MATCH($A105,'Master Inventory'!$A:$A,0)))</f>
        <v/>
      </c>
      <c r="C105" s="8">
        <f>IF($A105="","",IFERROR(INDEX('ABC Analysis'!$F:$F,MATCH($A105,'ABC Analysis'!$A:$A,0)),""))</f>
        <v/>
      </c>
      <c r="D105" s="8">
        <f>IF($C105="","",IF($C105="A",$K$1,IF($C105="B",$M$1,$O$1)))</f>
        <v/>
      </c>
      <c r="E105" s="12" t="n"/>
      <c r="F105" s="13">
        <f>IF(OR($A105="",$E105=""),"",$E105+$D105)</f>
        <v/>
      </c>
      <c r="G105" s="8">
        <f>IF($F105="","",IF($F105&lt;TODAY(),"OVERDUE","ON TRACK"))</f>
        <v/>
      </c>
      <c r="H105" s="8">
        <f>IF($A105="","",IF(COUNTIFS('Blind Count Entry'!$C:$C,$A105,'Blind Count Entry'!$B:$B,"&gt;="&amp;DATE(YEAR(TODAY()),MONTH(TODAY()),1),'Blind Count Entry'!$B:$B,"&lt;="&amp;EOMONTH(TODAY(),0))&gt;0,"YES","NO"))</f>
        <v/>
      </c>
    </row>
    <row r="106">
      <c r="A106" s="8">
        <f>IF('Master Inventory'!A104="","",'Master Inventory'!A104)</f>
        <v/>
      </c>
      <c r="B106" s="8">
        <f>IF($A106="","",INDEX('Master Inventory'!$B:$B,MATCH($A106,'Master Inventory'!$A:$A,0)))</f>
        <v/>
      </c>
      <c r="C106" s="8">
        <f>IF($A106="","",IFERROR(INDEX('ABC Analysis'!$F:$F,MATCH($A106,'ABC Analysis'!$A:$A,0)),""))</f>
        <v/>
      </c>
      <c r="D106" s="8">
        <f>IF($C106="","",IF($C106="A",$K$1,IF($C106="B",$M$1,$O$1)))</f>
        <v/>
      </c>
      <c r="E106" s="12" t="n"/>
      <c r="F106" s="13">
        <f>IF(OR($A106="",$E106=""),"",$E106+$D106)</f>
        <v/>
      </c>
      <c r="G106" s="8">
        <f>IF($F106="","",IF($F106&lt;TODAY(),"OVERDUE","ON TRACK"))</f>
        <v/>
      </c>
      <c r="H106" s="8">
        <f>IF($A106="","",IF(COUNTIFS('Blind Count Entry'!$C:$C,$A106,'Blind Count Entry'!$B:$B,"&gt;="&amp;DATE(YEAR(TODAY()),MONTH(TODAY()),1),'Blind Count Entry'!$B:$B,"&lt;="&amp;EOMONTH(TODAY(),0))&gt;0,"YES","NO"))</f>
        <v/>
      </c>
    </row>
    <row r="107">
      <c r="A107" s="8">
        <f>IF('Master Inventory'!A105="","",'Master Inventory'!A105)</f>
        <v/>
      </c>
      <c r="B107" s="8">
        <f>IF($A107="","",INDEX('Master Inventory'!$B:$B,MATCH($A107,'Master Inventory'!$A:$A,0)))</f>
        <v/>
      </c>
      <c r="C107" s="8">
        <f>IF($A107="","",IFERROR(INDEX('ABC Analysis'!$F:$F,MATCH($A107,'ABC Analysis'!$A:$A,0)),""))</f>
        <v/>
      </c>
      <c r="D107" s="8">
        <f>IF($C107="","",IF($C107="A",$K$1,IF($C107="B",$M$1,$O$1)))</f>
        <v/>
      </c>
      <c r="E107" s="12" t="n"/>
      <c r="F107" s="13">
        <f>IF(OR($A107="",$E107=""),"",$E107+$D107)</f>
        <v/>
      </c>
      <c r="G107" s="8">
        <f>IF($F107="","",IF($F107&lt;TODAY(),"OVERDUE","ON TRACK"))</f>
        <v/>
      </c>
      <c r="H107" s="8">
        <f>IF($A107="","",IF(COUNTIFS('Blind Count Entry'!$C:$C,$A107,'Blind Count Entry'!$B:$B,"&gt;="&amp;DATE(YEAR(TODAY()),MONTH(TODAY()),1),'Blind Count Entry'!$B:$B,"&lt;="&amp;EOMONTH(TODAY(),0))&gt;0,"YES","NO"))</f>
        <v/>
      </c>
    </row>
    <row r="108">
      <c r="A108" s="8">
        <f>IF('Master Inventory'!A106="","",'Master Inventory'!A106)</f>
        <v/>
      </c>
      <c r="B108" s="8">
        <f>IF($A108="","",INDEX('Master Inventory'!$B:$B,MATCH($A108,'Master Inventory'!$A:$A,0)))</f>
        <v/>
      </c>
      <c r="C108" s="8">
        <f>IF($A108="","",IFERROR(INDEX('ABC Analysis'!$F:$F,MATCH($A108,'ABC Analysis'!$A:$A,0)),""))</f>
        <v/>
      </c>
      <c r="D108" s="8">
        <f>IF($C108="","",IF($C108="A",$K$1,IF($C108="B",$M$1,$O$1)))</f>
        <v/>
      </c>
      <c r="E108" s="12" t="n"/>
      <c r="F108" s="13">
        <f>IF(OR($A108="",$E108=""),"",$E108+$D108)</f>
        <v/>
      </c>
      <c r="G108" s="8">
        <f>IF($F108="","",IF($F108&lt;TODAY(),"OVERDUE","ON TRACK"))</f>
        <v/>
      </c>
      <c r="H108" s="8">
        <f>IF($A108="","",IF(COUNTIFS('Blind Count Entry'!$C:$C,$A108,'Blind Count Entry'!$B:$B,"&gt;="&amp;DATE(YEAR(TODAY()),MONTH(TODAY()),1),'Blind Count Entry'!$B:$B,"&lt;="&amp;EOMONTH(TODAY(),0))&gt;0,"YES","NO"))</f>
        <v/>
      </c>
    </row>
    <row r="109">
      <c r="A109" s="8">
        <f>IF('Master Inventory'!A107="","",'Master Inventory'!A107)</f>
        <v/>
      </c>
      <c r="B109" s="8">
        <f>IF($A109="","",INDEX('Master Inventory'!$B:$B,MATCH($A109,'Master Inventory'!$A:$A,0)))</f>
        <v/>
      </c>
      <c r="C109" s="8">
        <f>IF($A109="","",IFERROR(INDEX('ABC Analysis'!$F:$F,MATCH($A109,'ABC Analysis'!$A:$A,0)),""))</f>
        <v/>
      </c>
      <c r="D109" s="8">
        <f>IF($C109="","",IF($C109="A",$K$1,IF($C109="B",$M$1,$O$1)))</f>
        <v/>
      </c>
      <c r="E109" s="12" t="n"/>
      <c r="F109" s="13">
        <f>IF(OR($A109="",$E109=""),"",$E109+$D109)</f>
        <v/>
      </c>
      <c r="G109" s="8">
        <f>IF($F109="","",IF($F109&lt;TODAY(),"OVERDUE","ON TRACK"))</f>
        <v/>
      </c>
      <c r="H109" s="8">
        <f>IF($A109="","",IF(COUNTIFS('Blind Count Entry'!$C:$C,$A109,'Blind Count Entry'!$B:$B,"&gt;="&amp;DATE(YEAR(TODAY()),MONTH(TODAY()),1),'Blind Count Entry'!$B:$B,"&lt;="&amp;EOMONTH(TODAY(),0))&gt;0,"YES","NO"))</f>
        <v/>
      </c>
    </row>
    <row r="110">
      <c r="A110" s="8">
        <f>IF('Master Inventory'!A108="","",'Master Inventory'!A108)</f>
        <v/>
      </c>
      <c r="B110" s="8">
        <f>IF($A110="","",INDEX('Master Inventory'!$B:$B,MATCH($A110,'Master Inventory'!$A:$A,0)))</f>
        <v/>
      </c>
      <c r="C110" s="8">
        <f>IF($A110="","",IFERROR(INDEX('ABC Analysis'!$F:$F,MATCH($A110,'ABC Analysis'!$A:$A,0)),""))</f>
        <v/>
      </c>
      <c r="D110" s="8">
        <f>IF($C110="","",IF($C110="A",$K$1,IF($C110="B",$M$1,$O$1)))</f>
        <v/>
      </c>
      <c r="E110" s="12" t="n"/>
      <c r="F110" s="13">
        <f>IF(OR($A110="",$E110=""),"",$E110+$D110)</f>
        <v/>
      </c>
      <c r="G110" s="8">
        <f>IF($F110="","",IF($F110&lt;TODAY(),"OVERDUE","ON TRACK"))</f>
        <v/>
      </c>
      <c r="H110" s="8">
        <f>IF($A110="","",IF(COUNTIFS('Blind Count Entry'!$C:$C,$A110,'Blind Count Entry'!$B:$B,"&gt;="&amp;DATE(YEAR(TODAY()),MONTH(TODAY()),1),'Blind Count Entry'!$B:$B,"&lt;="&amp;EOMONTH(TODAY(),0))&gt;0,"YES","NO"))</f>
        <v/>
      </c>
    </row>
    <row r="111">
      <c r="A111" s="8">
        <f>IF('Master Inventory'!A109="","",'Master Inventory'!A109)</f>
        <v/>
      </c>
      <c r="B111" s="8">
        <f>IF($A111="","",INDEX('Master Inventory'!$B:$B,MATCH($A111,'Master Inventory'!$A:$A,0)))</f>
        <v/>
      </c>
      <c r="C111" s="8">
        <f>IF($A111="","",IFERROR(INDEX('ABC Analysis'!$F:$F,MATCH($A111,'ABC Analysis'!$A:$A,0)),""))</f>
        <v/>
      </c>
      <c r="D111" s="8">
        <f>IF($C111="","",IF($C111="A",$K$1,IF($C111="B",$M$1,$O$1)))</f>
        <v/>
      </c>
      <c r="E111" s="12" t="n"/>
      <c r="F111" s="13">
        <f>IF(OR($A111="",$E111=""),"",$E111+$D111)</f>
        <v/>
      </c>
      <c r="G111" s="8">
        <f>IF($F111="","",IF($F111&lt;TODAY(),"OVERDUE","ON TRACK"))</f>
        <v/>
      </c>
      <c r="H111" s="8">
        <f>IF($A111="","",IF(COUNTIFS('Blind Count Entry'!$C:$C,$A111,'Blind Count Entry'!$B:$B,"&gt;="&amp;DATE(YEAR(TODAY()),MONTH(TODAY()),1),'Blind Count Entry'!$B:$B,"&lt;="&amp;EOMONTH(TODAY(),0))&gt;0,"YES","NO"))</f>
        <v/>
      </c>
    </row>
    <row r="112">
      <c r="A112" s="8">
        <f>IF('Master Inventory'!A110="","",'Master Inventory'!A110)</f>
        <v/>
      </c>
      <c r="B112" s="8">
        <f>IF($A112="","",INDEX('Master Inventory'!$B:$B,MATCH($A112,'Master Inventory'!$A:$A,0)))</f>
        <v/>
      </c>
      <c r="C112" s="8">
        <f>IF($A112="","",IFERROR(INDEX('ABC Analysis'!$F:$F,MATCH($A112,'ABC Analysis'!$A:$A,0)),""))</f>
        <v/>
      </c>
      <c r="D112" s="8">
        <f>IF($C112="","",IF($C112="A",$K$1,IF($C112="B",$M$1,$O$1)))</f>
        <v/>
      </c>
      <c r="E112" s="12" t="n"/>
      <c r="F112" s="13">
        <f>IF(OR($A112="",$E112=""),"",$E112+$D112)</f>
        <v/>
      </c>
      <c r="G112" s="8">
        <f>IF($F112="","",IF($F112&lt;TODAY(),"OVERDUE","ON TRACK"))</f>
        <v/>
      </c>
      <c r="H112" s="8">
        <f>IF($A112="","",IF(COUNTIFS('Blind Count Entry'!$C:$C,$A112,'Blind Count Entry'!$B:$B,"&gt;="&amp;DATE(YEAR(TODAY()),MONTH(TODAY()),1),'Blind Count Entry'!$B:$B,"&lt;="&amp;EOMONTH(TODAY(),0))&gt;0,"YES","NO"))</f>
        <v/>
      </c>
    </row>
    <row r="113">
      <c r="A113" s="8">
        <f>IF('Master Inventory'!A111="","",'Master Inventory'!A111)</f>
        <v/>
      </c>
      <c r="B113" s="8">
        <f>IF($A113="","",INDEX('Master Inventory'!$B:$B,MATCH($A113,'Master Inventory'!$A:$A,0)))</f>
        <v/>
      </c>
      <c r="C113" s="8">
        <f>IF($A113="","",IFERROR(INDEX('ABC Analysis'!$F:$F,MATCH($A113,'ABC Analysis'!$A:$A,0)),""))</f>
        <v/>
      </c>
      <c r="D113" s="8">
        <f>IF($C113="","",IF($C113="A",$K$1,IF($C113="B",$M$1,$O$1)))</f>
        <v/>
      </c>
      <c r="E113" s="12" t="n"/>
      <c r="F113" s="13">
        <f>IF(OR($A113="",$E113=""),"",$E113+$D113)</f>
        <v/>
      </c>
      <c r="G113" s="8">
        <f>IF($F113="","",IF($F113&lt;TODAY(),"OVERDUE","ON TRACK"))</f>
        <v/>
      </c>
      <c r="H113" s="8">
        <f>IF($A113="","",IF(COUNTIFS('Blind Count Entry'!$C:$C,$A113,'Blind Count Entry'!$B:$B,"&gt;="&amp;DATE(YEAR(TODAY()),MONTH(TODAY()),1),'Blind Count Entry'!$B:$B,"&lt;="&amp;EOMONTH(TODAY(),0))&gt;0,"YES","NO"))</f>
        <v/>
      </c>
    </row>
    <row r="114">
      <c r="A114" s="8">
        <f>IF('Master Inventory'!A112="","",'Master Inventory'!A112)</f>
        <v/>
      </c>
      <c r="B114" s="8">
        <f>IF($A114="","",INDEX('Master Inventory'!$B:$B,MATCH($A114,'Master Inventory'!$A:$A,0)))</f>
        <v/>
      </c>
      <c r="C114" s="8">
        <f>IF($A114="","",IFERROR(INDEX('ABC Analysis'!$F:$F,MATCH($A114,'ABC Analysis'!$A:$A,0)),""))</f>
        <v/>
      </c>
      <c r="D114" s="8">
        <f>IF($C114="","",IF($C114="A",$K$1,IF($C114="B",$M$1,$O$1)))</f>
        <v/>
      </c>
      <c r="E114" s="12" t="n"/>
      <c r="F114" s="13">
        <f>IF(OR($A114="",$E114=""),"",$E114+$D114)</f>
        <v/>
      </c>
      <c r="G114" s="8">
        <f>IF($F114="","",IF($F114&lt;TODAY(),"OVERDUE","ON TRACK"))</f>
        <v/>
      </c>
      <c r="H114" s="8">
        <f>IF($A114="","",IF(COUNTIFS('Blind Count Entry'!$C:$C,$A114,'Blind Count Entry'!$B:$B,"&gt;="&amp;DATE(YEAR(TODAY()),MONTH(TODAY()),1),'Blind Count Entry'!$B:$B,"&lt;="&amp;EOMONTH(TODAY(),0))&gt;0,"YES","NO"))</f>
        <v/>
      </c>
    </row>
    <row r="115">
      <c r="A115" s="8">
        <f>IF('Master Inventory'!A113="","",'Master Inventory'!A113)</f>
        <v/>
      </c>
      <c r="B115" s="8">
        <f>IF($A115="","",INDEX('Master Inventory'!$B:$B,MATCH($A115,'Master Inventory'!$A:$A,0)))</f>
        <v/>
      </c>
      <c r="C115" s="8">
        <f>IF($A115="","",IFERROR(INDEX('ABC Analysis'!$F:$F,MATCH($A115,'ABC Analysis'!$A:$A,0)),""))</f>
        <v/>
      </c>
      <c r="D115" s="8">
        <f>IF($C115="","",IF($C115="A",$K$1,IF($C115="B",$M$1,$O$1)))</f>
        <v/>
      </c>
      <c r="E115" s="12" t="n"/>
      <c r="F115" s="13">
        <f>IF(OR($A115="",$E115=""),"",$E115+$D115)</f>
        <v/>
      </c>
      <c r="G115" s="8">
        <f>IF($F115="","",IF($F115&lt;TODAY(),"OVERDUE","ON TRACK"))</f>
        <v/>
      </c>
      <c r="H115" s="8">
        <f>IF($A115="","",IF(COUNTIFS('Blind Count Entry'!$C:$C,$A115,'Blind Count Entry'!$B:$B,"&gt;="&amp;DATE(YEAR(TODAY()),MONTH(TODAY()),1),'Blind Count Entry'!$B:$B,"&lt;="&amp;EOMONTH(TODAY(),0))&gt;0,"YES","NO"))</f>
        <v/>
      </c>
    </row>
    <row r="116">
      <c r="A116" s="8">
        <f>IF('Master Inventory'!A114="","",'Master Inventory'!A114)</f>
        <v/>
      </c>
      <c r="B116" s="8">
        <f>IF($A116="","",INDEX('Master Inventory'!$B:$B,MATCH($A116,'Master Inventory'!$A:$A,0)))</f>
        <v/>
      </c>
      <c r="C116" s="8">
        <f>IF($A116="","",IFERROR(INDEX('ABC Analysis'!$F:$F,MATCH($A116,'ABC Analysis'!$A:$A,0)),""))</f>
        <v/>
      </c>
      <c r="D116" s="8">
        <f>IF($C116="","",IF($C116="A",$K$1,IF($C116="B",$M$1,$O$1)))</f>
        <v/>
      </c>
      <c r="E116" s="12" t="n"/>
      <c r="F116" s="13">
        <f>IF(OR($A116="",$E116=""),"",$E116+$D116)</f>
        <v/>
      </c>
      <c r="G116" s="8">
        <f>IF($F116="","",IF($F116&lt;TODAY(),"OVERDUE","ON TRACK"))</f>
        <v/>
      </c>
      <c r="H116" s="8">
        <f>IF($A116="","",IF(COUNTIFS('Blind Count Entry'!$C:$C,$A116,'Blind Count Entry'!$B:$B,"&gt;="&amp;DATE(YEAR(TODAY()),MONTH(TODAY()),1),'Blind Count Entry'!$B:$B,"&lt;="&amp;EOMONTH(TODAY(),0))&gt;0,"YES","NO"))</f>
        <v/>
      </c>
    </row>
    <row r="117">
      <c r="A117" s="8">
        <f>IF('Master Inventory'!A115="","",'Master Inventory'!A115)</f>
        <v/>
      </c>
      <c r="B117" s="8">
        <f>IF($A117="","",INDEX('Master Inventory'!$B:$B,MATCH($A117,'Master Inventory'!$A:$A,0)))</f>
        <v/>
      </c>
      <c r="C117" s="8">
        <f>IF($A117="","",IFERROR(INDEX('ABC Analysis'!$F:$F,MATCH($A117,'ABC Analysis'!$A:$A,0)),""))</f>
        <v/>
      </c>
      <c r="D117" s="8">
        <f>IF($C117="","",IF($C117="A",$K$1,IF($C117="B",$M$1,$O$1)))</f>
        <v/>
      </c>
      <c r="E117" s="12" t="n"/>
      <c r="F117" s="13">
        <f>IF(OR($A117="",$E117=""),"",$E117+$D117)</f>
        <v/>
      </c>
      <c r="G117" s="8">
        <f>IF($F117="","",IF($F117&lt;TODAY(),"OVERDUE","ON TRACK"))</f>
        <v/>
      </c>
      <c r="H117" s="8">
        <f>IF($A117="","",IF(COUNTIFS('Blind Count Entry'!$C:$C,$A117,'Blind Count Entry'!$B:$B,"&gt;="&amp;DATE(YEAR(TODAY()),MONTH(TODAY()),1),'Blind Count Entry'!$B:$B,"&lt;="&amp;EOMONTH(TODAY(),0))&gt;0,"YES","NO"))</f>
        <v/>
      </c>
    </row>
    <row r="118">
      <c r="A118" s="8">
        <f>IF('Master Inventory'!A116="","",'Master Inventory'!A116)</f>
        <v/>
      </c>
      <c r="B118" s="8">
        <f>IF($A118="","",INDEX('Master Inventory'!$B:$B,MATCH($A118,'Master Inventory'!$A:$A,0)))</f>
        <v/>
      </c>
      <c r="C118" s="8">
        <f>IF($A118="","",IFERROR(INDEX('ABC Analysis'!$F:$F,MATCH($A118,'ABC Analysis'!$A:$A,0)),""))</f>
        <v/>
      </c>
      <c r="D118" s="8">
        <f>IF($C118="","",IF($C118="A",$K$1,IF($C118="B",$M$1,$O$1)))</f>
        <v/>
      </c>
      <c r="E118" s="12" t="n"/>
      <c r="F118" s="13">
        <f>IF(OR($A118="",$E118=""),"",$E118+$D118)</f>
        <v/>
      </c>
      <c r="G118" s="8">
        <f>IF($F118="","",IF($F118&lt;TODAY(),"OVERDUE","ON TRACK"))</f>
        <v/>
      </c>
      <c r="H118" s="8">
        <f>IF($A118="","",IF(COUNTIFS('Blind Count Entry'!$C:$C,$A118,'Blind Count Entry'!$B:$B,"&gt;="&amp;DATE(YEAR(TODAY()),MONTH(TODAY()),1),'Blind Count Entry'!$B:$B,"&lt;="&amp;EOMONTH(TODAY(),0))&gt;0,"YES","NO"))</f>
        <v/>
      </c>
    </row>
    <row r="119">
      <c r="A119" s="8">
        <f>IF('Master Inventory'!A117="","",'Master Inventory'!A117)</f>
        <v/>
      </c>
      <c r="B119" s="8">
        <f>IF($A119="","",INDEX('Master Inventory'!$B:$B,MATCH($A119,'Master Inventory'!$A:$A,0)))</f>
        <v/>
      </c>
      <c r="C119" s="8">
        <f>IF($A119="","",IFERROR(INDEX('ABC Analysis'!$F:$F,MATCH($A119,'ABC Analysis'!$A:$A,0)),""))</f>
        <v/>
      </c>
      <c r="D119" s="8">
        <f>IF($C119="","",IF($C119="A",$K$1,IF($C119="B",$M$1,$O$1)))</f>
        <v/>
      </c>
      <c r="E119" s="12" t="n"/>
      <c r="F119" s="13">
        <f>IF(OR($A119="",$E119=""),"",$E119+$D119)</f>
        <v/>
      </c>
      <c r="G119" s="8">
        <f>IF($F119="","",IF($F119&lt;TODAY(),"OVERDUE","ON TRACK"))</f>
        <v/>
      </c>
      <c r="H119" s="8">
        <f>IF($A119="","",IF(COUNTIFS('Blind Count Entry'!$C:$C,$A119,'Blind Count Entry'!$B:$B,"&gt;="&amp;DATE(YEAR(TODAY()),MONTH(TODAY()),1),'Blind Count Entry'!$B:$B,"&lt;="&amp;EOMONTH(TODAY(),0))&gt;0,"YES","NO"))</f>
        <v/>
      </c>
    </row>
    <row r="120">
      <c r="A120" s="8">
        <f>IF('Master Inventory'!A118="","",'Master Inventory'!A118)</f>
        <v/>
      </c>
      <c r="B120" s="8">
        <f>IF($A120="","",INDEX('Master Inventory'!$B:$B,MATCH($A120,'Master Inventory'!$A:$A,0)))</f>
        <v/>
      </c>
      <c r="C120" s="8">
        <f>IF($A120="","",IFERROR(INDEX('ABC Analysis'!$F:$F,MATCH($A120,'ABC Analysis'!$A:$A,0)),""))</f>
        <v/>
      </c>
      <c r="D120" s="8">
        <f>IF($C120="","",IF($C120="A",$K$1,IF($C120="B",$M$1,$O$1)))</f>
        <v/>
      </c>
      <c r="E120" s="12" t="n"/>
      <c r="F120" s="13">
        <f>IF(OR($A120="",$E120=""),"",$E120+$D120)</f>
        <v/>
      </c>
      <c r="G120" s="8">
        <f>IF($F120="","",IF($F120&lt;TODAY(),"OVERDUE","ON TRACK"))</f>
        <v/>
      </c>
      <c r="H120" s="8">
        <f>IF($A120="","",IF(COUNTIFS('Blind Count Entry'!$C:$C,$A120,'Blind Count Entry'!$B:$B,"&gt;="&amp;DATE(YEAR(TODAY()),MONTH(TODAY()),1),'Blind Count Entry'!$B:$B,"&lt;="&amp;EOMONTH(TODAY(),0))&gt;0,"YES","NO"))</f>
        <v/>
      </c>
    </row>
    <row r="121">
      <c r="A121" s="8">
        <f>IF('Master Inventory'!A119="","",'Master Inventory'!A119)</f>
        <v/>
      </c>
      <c r="B121" s="8">
        <f>IF($A121="","",INDEX('Master Inventory'!$B:$B,MATCH($A121,'Master Inventory'!$A:$A,0)))</f>
        <v/>
      </c>
      <c r="C121" s="8">
        <f>IF($A121="","",IFERROR(INDEX('ABC Analysis'!$F:$F,MATCH($A121,'ABC Analysis'!$A:$A,0)),""))</f>
        <v/>
      </c>
      <c r="D121" s="8">
        <f>IF($C121="","",IF($C121="A",$K$1,IF($C121="B",$M$1,$O$1)))</f>
        <v/>
      </c>
      <c r="E121" s="12" t="n"/>
      <c r="F121" s="13">
        <f>IF(OR($A121="",$E121=""),"",$E121+$D121)</f>
        <v/>
      </c>
      <c r="G121" s="8">
        <f>IF($F121="","",IF($F121&lt;TODAY(),"OVERDUE","ON TRACK"))</f>
        <v/>
      </c>
      <c r="H121" s="8">
        <f>IF($A121="","",IF(COUNTIFS('Blind Count Entry'!$C:$C,$A121,'Blind Count Entry'!$B:$B,"&gt;="&amp;DATE(YEAR(TODAY()),MONTH(TODAY()),1),'Blind Count Entry'!$B:$B,"&lt;="&amp;EOMONTH(TODAY(),0))&gt;0,"YES","NO"))</f>
        <v/>
      </c>
    </row>
    <row r="122">
      <c r="A122" s="8">
        <f>IF('Master Inventory'!A120="","",'Master Inventory'!A120)</f>
        <v/>
      </c>
      <c r="B122" s="8">
        <f>IF($A122="","",INDEX('Master Inventory'!$B:$B,MATCH($A122,'Master Inventory'!$A:$A,0)))</f>
        <v/>
      </c>
      <c r="C122" s="8">
        <f>IF($A122="","",IFERROR(INDEX('ABC Analysis'!$F:$F,MATCH($A122,'ABC Analysis'!$A:$A,0)),""))</f>
        <v/>
      </c>
      <c r="D122" s="8">
        <f>IF($C122="","",IF($C122="A",$K$1,IF($C122="B",$M$1,$O$1)))</f>
        <v/>
      </c>
      <c r="E122" s="12" t="n"/>
      <c r="F122" s="13">
        <f>IF(OR($A122="",$E122=""),"",$E122+$D122)</f>
        <v/>
      </c>
      <c r="G122" s="8">
        <f>IF($F122="","",IF($F122&lt;TODAY(),"OVERDUE","ON TRACK"))</f>
        <v/>
      </c>
      <c r="H122" s="8">
        <f>IF($A122="","",IF(COUNTIFS('Blind Count Entry'!$C:$C,$A122,'Blind Count Entry'!$B:$B,"&gt;="&amp;DATE(YEAR(TODAY()),MONTH(TODAY()),1),'Blind Count Entry'!$B:$B,"&lt;="&amp;EOMONTH(TODAY(),0))&gt;0,"YES","NO"))</f>
        <v/>
      </c>
    </row>
    <row r="123">
      <c r="A123" s="8">
        <f>IF('Master Inventory'!A121="","",'Master Inventory'!A121)</f>
        <v/>
      </c>
      <c r="B123" s="8">
        <f>IF($A123="","",INDEX('Master Inventory'!$B:$B,MATCH($A123,'Master Inventory'!$A:$A,0)))</f>
        <v/>
      </c>
      <c r="C123" s="8">
        <f>IF($A123="","",IFERROR(INDEX('ABC Analysis'!$F:$F,MATCH($A123,'ABC Analysis'!$A:$A,0)),""))</f>
        <v/>
      </c>
      <c r="D123" s="8">
        <f>IF($C123="","",IF($C123="A",$K$1,IF($C123="B",$M$1,$O$1)))</f>
        <v/>
      </c>
      <c r="E123" s="12" t="n"/>
      <c r="F123" s="13">
        <f>IF(OR($A123="",$E123=""),"",$E123+$D123)</f>
        <v/>
      </c>
      <c r="G123" s="8">
        <f>IF($F123="","",IF($F123&lt;TODAY(),"OVERDUE","ON TRACK"))</f>
        <v/>
      </c>
      <c r="H123" s="8">
        <f>IF($A123="","",IF(COUNTIFS('Blind Count Entry'!$C:$C,$A123,'Blind Count Entry'!$B:$B,"&gt;="&amp;DATE(YEAR(TODAY()),MONTH(TODAY()),1),'Blind Count Entry'!$B:$B,"&lt;="&amp;EOMONTH(TODAY(),0))&gt;0,"YES","NO"))</f>
        <v/>
      </c>
    </row>
    <row r="124">
      <c r="A124" s="8">
        <f>IF('Master Inventory'!A122="","",'Master Inventory'!A122)</f>
        <v/>
      </c>
      <c r="B124" s="8">
        <f>IF($A124="","",INDEX('Master Inventory'!$B:$B,MATCH($A124,'Master Inventory'!$A:$A,0)))</f>
        <v/>
      </c>
      <c r="C124" s="8">
        <f>IF($A124="","",IFERROR(INDEX('ABC Analysis'!$F:$F,MATCH($A124,'ABC Analysis'!$A:$A,0)),""))</f>
        <v/>
      </c>
      <c r="D124" s="8">
        <f>IF($C124="","",IF($C124="A",$K$1,IF($C124="B",$M$1,$O$1)))</f>
        <v/>
      </c>
      <c r="E124" s="12" t="n"/>
      <c r="F124" s="13">
        <f>IF(OR($A124="",$E124=""),"",$E124+$D124)</f>
        <v/>
      </c>
      <c r="G124" s="8">
        <f>IF($F124="","",IF($F124&lt;TODAY(),"OVERDUE","ON TRACK"))</f>
        <v/>
      </c>
      <c r="H124" s="8">
        <f>IF($A124="","",IF(COUNTIFS('Blind Count Entry'!$C:$C,$A124,'Blind Count Entry'!$B:$B,"&gt;="&amp;DATE(YEAR(TODAY()),MONTH(TODAY()),1),'Blind Count Entry'!$B:$B,"&lt;="&amp;EOMONTH(TODAY(),0))&gt;0,"YES","NO"))</f>
        <v/>
      </c>
    </row>
    <row r="125">
      <c r="A125" s="8">
        <f>IF('Master Inventory'!A123="","",'Master Inventory'!A123)</f>
        <v/>
      </c>
      <c r="B125" s="8">
        <f>IF($A125="","",INDEX('Master Inventory'!$B:$B,MATCH($A125,'Master Inventory'!$A:$A,0)))</f>
        <v/>
      </c>
      <c r="C125" s="8">
        <f>IF($A125="","",IFERROR(INDEX('ABC Analysis'!$F:$F,MATCH($A125,'ABC Analysis'!$A:$A,0)),""))</f>
        <v/>
      </c>
      <c r="D125" s="8">
        <f>IF($C125="","",IF($C125="A",$K$1,IF($C125="B",$M$1,$O$1)))</f>
        <v/>
      </c>
      <c r="E125" s="12" t="n"/>
      <c r="F125" s="13">
        <f>IF(OR($A125="",$E125=""),"",$E125+$D125)</f>
        <v/>
      </c>
      <c r="G125" s="8">
        <f>IF($F125="","",IF($F125&lt;TODAY(),"OVERDUE","ON TRACK"))</f>
        <v/>
      </c>
      <c r="H125" s="8">
        <f>IF($A125="","",IF(COUNTIFS('Blind Count Entry'!$C:$C,$A125,'Blind Count Entry'!$B:$B,"&gt;="&amp;DATE(YEAR(TODAY()),MONTH(TODAY()),1),'Blind Count Entry'!$B:$B,"&lt;="&amp;EOMONTH(TODAY(),0))&gt;0,"YES","NO"))</f>
        <v/>
      </c>
    </row>
    <row r="126">
      <c r="A126" s="8">
        <f>IF('Master Inventory'!A124="","",'Master Inventory'!A124)</f>
        <v/>
      </c>
      <c r="B126" s="8">
        <f>IF($A126="","",INDEX('Master Inventory'!$B:$B,MATCH($A126,'Master Inventory'!$A:$A,0)))</f>
        <v/>
      </c>
      <c r="C126" s="8">
        <f>IF($A126="","",IFERROR(INDEX('ABC Analysis'!$F:$F,MATCH($A126,'ABC Analysis'!$A:$A,0)),""))</f>
        <v/>
      </c>
      <c r="D126" s="8">
        <f>IF($C126="","",IF($C126="A",$K$1,IF($C126="B",$M$1,$O$1)))</f>
        <v/>
      </c>
      <c r="E126" s="12" t="n"/>
      <c r="F126" s="13">
        <f>IF(OR($A126="",$E126=""),"",$E126+$D126)</f>
        <v/>
      </c>
      <c r="G126" s="8">
        <f>IF($F126="","",IF($F126&lt;TODAY(),"OVERDUE","ON TRACK"))</f>
        <v/>
      </c>
      <c r="H126" s="8">
        <f>IF($A126="","",IF(COUNTIFS('Blind Count Entry'!$C:$C,$A126,'Blind Count Entry'!$B:$B,"&gt;="&amp;DATE(YEAR(TODAY()),MONTH(TODAY()),1),'Blind Count Entry'!$B:$B,"&lt;="&amp;EOMONTH(TODAY(),0))&gt;0,"YES","NO"))</f>
        <v/>
      </c>
    </row>
    <row r="127">
      <c r="A127" s="8">
        <f>IF('Master Inventory'!A125="","",'Master Inventory'!A125)</f>
        <v/>
      </c>
      <c r="B127" s="8">
        <f>IF($A127="","",INDEX('Master Inventory'!$B:$B,MATCH($A127,'Master Inventory'!$A:$A,0)))</f>
        <v/>
      </c>
      <c r="C127" s="8">
        <f>IF($A127="","",IFERROR(INDEX('ABC Analysis'!$F:$F,MATCH($A127,'ABC Analysis'!$A:$A,0)),""))</f>
        <v/>
      </c>
      <c r="D127" s="8">
        <f>IF($C127="","",IF($C127="A",$K$1,IF($C127="B",$M$1,$O$1)))</f>
        <v/>
      </c>
      <c r="E127" s="12" t="n"/>
      <c r="F127" s="13">
        <f>IF(OR($A127="",$E127=""),"",$E127+$D127)</f>
        <v/>
      </c>
      <c r="G127" s="8">
        <f>IF($F127="","",IF($F127&lt;TODAY(),"OVERDUE","ON TRACK"))</f>
        <v/>
      </c>
      <c r="H127" s="8">
        <f>IF($A127="","",IF(COUNTIFS('Blind Count Entry'!$C:$C,$A127,'Blind Count Entry'!$B:$B,"&gt;="&amp;DATE(YEAR(TODAY()),MONTH(TODAY()),1),'Blind Count Entry'!$B:$B,"&lt;="&amp;EOMONTH(TODAY(),0))&gt;0,"YES","NO"))</f>
        <v/>
      </c>
    </row>
    <row r="128">
      <c r="A128" s="8">
        <f>IF('Master Inventory'!A126="","",'Master Inventory'!A126)</f>
        <v/>
      </c>
      <c r="B128" s="8">
        <f>IF($A128="","",INDEX('Master Inventory'!$B:$B,MATCH($A128,'Master Inventory'!$A:$A,0)))</f>
        <v/>
      </c>
      <c r="C128" s="8">
        <f>IF($A128="","",IFERROR(INDEX('ABC Analysis'!$F:$F,MATCH($A128,'ABC Analysis'!$A:$A,0)),""))</f>
        <v/>
      </c>
      <c r="D128" s="8">
        <f>IF($C128="","",IF($C128="A",$K$1,IF($C128="B",$M$1,$O$1)))</f>
        <v/>
      </c>
      <c r="E128" s="12" t="n"/>
      <c r="F128" s="13">
        <f>IF(OR($A128="",$E128=""),"",$E128+$D128)</f>
        <v/>
      </c>
      <c r="G128" s="8">
        <f>IF($F128="","",IF($F128&lt;TODAY(),"OVERDUE","ON TRACK"))</f>
        <v/>
      </c>
      <c r="H128" s="8">
        <f>IF($A128="","",IF(COUNTIFS('Blind Count Entry'!$C:$C,$A128,'Blind Count Entry'!$B:$B,"&gt;="&amp;DATE(YEAR(TODAY()),MONTH(TODAY()),1),'Blind Count Entry'!$B:$B,"&lt;="&amp;EOMONTH(TODAY(),0))&gt;0,"YES","NO"))</f>
        <v/>
      </c>
    </row>
    <row r="129">
      <c r="A129" s="8">
        <f>IF('Master Inventory'!A127="","",'Master Inventory'!A127)</f>
        <v/>
      </c>
      <c r="B129" s="8">
        <f>IF($A129="","",INDEX('Master Inventory'!$B:$B,MATCH($A129,'Master Inventory'!$A:$A,0)))</f>
        <v/>
      </c>
      <c r="C129" s="8">
        <f>IF($A129="","",IFERROR(INDEX('ABC Analysis'!$F:$F,MATCH($A129,'ABC Analysis'!$A:$A,0)),""))</f>
        <v/>
      </c>
      <c r="D129" s="8">
        <f>IF($C129="","",IF($C129="A",$K$1,IF($C129="B",$M$1,$O$1)))</f>
        <v/>
      </c>
      <c r="E129" s="12" t="n"/>
      <c r="F129" s="13">
        <f>IF(OR($A129="",$E129=""),"",$E129+$D129)</f>
        <v/>
      </c>
      <c r="G129" s="8">
        <f>IF($F129="","",IF($F129&lt;TODAY(),"OVERDUE","ON TRACK"))</f>
        <v/>
      </c>
      <c r="H129" s="8">
        <f>IF($A129="","",IF(COUNTIFS('Blind Count Entry'!$C:$C,$A129,'Blind Count Entry'!$B:$B,"&gt;="&amp;DATE(YEAR(TODAY()),MONTH(TODAY()),1),'Blind Count Entry'!$B:$B,"&lt;="&amp;EOMONTH(TODAY(),0))&gt;0,"YES","NO"))</f>
        <v/>
      </c>
    </row>
    <row r="130">
      <c r="A130" s="8">
        <f>IF('Master Inventory'!A128="","",'Master Inventory'!A128)</f>
        <v/>
      </c>
      <c r="B130" s="8">
        <f>IF($A130="","",INDEX('Master Inventory'!$B:$B,MATCH($A130,'Master Inventory'!$A:$A,0)))</f>
        <v/>
      </c>
      <c r="C130" s="8">
        <f>IF($A130="","",IFERROR(INDEX('ABC Analysis'!$F:$F,MATCH($A130,'ABC Analysis'!$A:$A,0)),""))</f>
        <v/>
      </c>
      <c r="D130" s="8">
        <f>IF($C130="","",IF($C130="A",$K$1,IF($C130="B",$M$1,$O$1)))</f>
        <v/>
      </c>
      <c r="E130" s="12" t="n"/>
      <c r="F130" s="13">
        <f>IF(OR($A130="",$E130=""),"",$E130+$D130)</f>
        <v/>
      </c>
      <c r="G130" s="8">
        <f>IF($F130="","",IF($F130&lt;TODAY(),"OVERDUE","ON TRACK"))</f>
        <v/>
      </c>
      <c r="H130" s="8">
        <f>IF($A130="","",IF(COUNTIFS('Blind Count Entry'!$C:$C,$A130,'Blind Count Entry'!$B:$B,"&gt;="&amp;DATE(YEAR(TODAY()),MONTH(TODAY()),1),'Blind Count Entry'!$B:$B,"&lt;="&amp;EOMONTH(TODAY(),0))&gt;0,"YES","NO"))</f>
        <v/>
      </c>
    </row>
    <row r="131">
      <c r="A131" s="8">
        <f>IF('Master Inventory'!A129="","",'Master Inventory'!A129)</f>
        <v/>
      </c>
      <c r="B131" s="8">
        <f>IF($A131="","",INDEX('Master Inventory'!$B:$B,MATCH($A131,'Master Inventory'!$A:$A,0)))</f>
        <v/>
      </c>
      <c r="C131" s="8">
        <f>IF($A131="","",IFERROR(INDEX('ABC Analysis'!$F:$F,MATCH($A131,'ABC Analysis'!$A:$A,0)),""))</f>
        <v/>
      </c>
      <c r="D131" s="8">
        <f>IF($C131="","",IF($C131="A",$K$1,IF($C131="B",$M$1,$O$1)))</f>
        <v/>
      </c>
      <c r="E131" s="12" t="n"/>
      <c r="F131" s="13">
        <f>IF(OR($A131="",$E131=""),"",$E131+$D131)</f>
        <v/>
      </c>
      <c r="G131" s="8">
        <f>IF($F131="","",IF($F131&lt;TODAY(),"OVERDUE","ON TRACK"))</f>
        <v/>
      </c>
      <c r="H131" s="8">
        <f>IF($A131="","",IF(COUNTIFS('Blind Count Entry'!$C:$C,$A131,'Blind Count Entry'!$B:$B,"&gt;="&amp;DATE(YEAR(TODAY()),MONTH(TODAY()),1),'Blind Count Entry'!$B:$B,"&lt;="&amp;EOMONTH(TODAY(),0))&gt;0,"YES","NO"))</f>
        <v/>
      </c>
    </row>
    <row r="132">
      <c r="A132" s="8">
        <f>IF('Master Inventory'!A130="","",'Master Inventory'!A130)</f>
        <v/>
      </c>
      <c r="B132" s="8">
        <f>IF($A132="","",INDEX('Master Inventory'!$B:$B,MATCH($A132,'Master Inventory'!$A:$A,0)))</f>
        <v/>
      </c>
      <c r="C132" s="8">
        <f>IF($A132="","",IFERROR(INDEX('ABC Analysis'!$F:$F,MATCH($A132,'ABC Analysis'!$A:$A,0)),""))</f>
        <v/>
      </c>
      <c r="D132" s="8">
        <f>IF($C132="","",IF($C132="A",$K$1,IF($C132="B",$M$1,$O$1)))</f>
        <v/>
      </c>
      <c r="E132" s="12" t="n"/>
      <c r="F132" s="13">
        <f>IF(OR($A132="",$E132=""),"",$E132+$D132)</f>
        <v/>
      </c>
      <c r="G132" s="8">
        <f>IF($F132="","",IF($F132&lt;TODAY(),"OVERDUE","ON TRACK"))</f>
        <v/>
      </c>
      <c r="H132" s="8">
        <f>IF($A132="","",IF(COUNTIFS('Blind Count Entry'!$C:$C,$A132,'Blind Count Entry'!$B:$B,"&gt;="&amp;DATE(YEAR(TODAY()),MONTH(TODAY()),1),'Blind Count Entry'!$B:$B,"&lt;="&amp;EOMONTH(TODAY(),0))&gt;0,"YES","NO"))</f>
        <v/>
      </c>
    </row>
    <row r="133">
      <c r="A133" s="8">
        <f>IF('Master Inventory'!A131="","",'Master Inventory'!A131)</f>
        <v/>
      </c>
      <c r="B133" s="8">
        <f>IF($A133="","",INDEX('Master Inventory'!$B:$B,MATCH($A133,'Master Inventory'!$A:$A,0)))</f>
        <v/>
      </c>
      <c r="C133" s="8">
        <f>IF($A133="","",IFERROR(INDEX('ABC Analysis'!$F:$F,MATCH($A133,'ABC Analysis'!$A:$A,0)),""))</f>
        <v/>
      </c>
      <c r="D133" s="8">
        <f>IF($C133="","",IF($C133="A",$K$1,IF($C133="B",$M$1,$O$1)))</f>
        <v/>
      </c>
      <c r="E133" s="12" t="n"/>
      <c r="F133" s="13">
        <f>IF(OR($A133="",$E133=""),"",$E133+$D133)</f>
        <v/>
      </c>
      <c r="G133" s="8">
        <f>IF($F133="","",IF($F133&lt;TODAY(),"OVERDUE","ON TRACK"))</f>
        <v/>
      </c>
      <c r="H133" s="8">
        <f>IF($A133="","",IF(COUNTIFS('Blind Count Entry'!$C:$C,$A133,'Blind Count Entry'!$B:$B,"&gt;="&amp;DATE(YEAR(TODAY()),MONTH(TODAY()),1),'Blind Count Entry'!$B:$B,"&lt;="&amp;EOMONTH(TODAY(),0))&gt;0,"YES","NO"))</f>
        <v/>
      </c>
    </row>
    <row r="134">
      <c r="A134" s="8">
        <f>IF('Master Inventory'!A132="","",'Master Inventory'!A132)</f>
        <v/>
      </c>
      <c r="B134" s="8">
        <f>IF($A134="","",INDEX('Master Inventory'!$B:$B,MATCH($A134,'Master Inventory'!$A:$A,0)))</f>
        <v/>
      </c>
      <c r="C134" s="8">
        <f>IF($A134="","",IFERROR(INDEX('ABC Analysis'!$F:$F,MATCH($A134,'ABC Analysis'!$A:$A,0)),""))</f>
        <v/>
      </c>
      <c r="D134" s="8">
        <f>IF($C134="","",IF($C134="A",$K$1,IF($C134="B",$M$1,$O$1)))</f>
        <v/>
      </c>
      <c r="E134" s="12" t="n"/>
      <c r="F134" s="13">
        <f>IF(OR($A134="",$E134=""),"",$E134+$D134)</f>
        <v/>
      </c>
      <c r="G134" s="8">
        <f>IF($F134="","",IF($F134&lt;TODAY(),"OVERDUE","ON TRACK"))</f>
        <v/>
      </c>
      <c r="H134" s="8">
        <f>IF($A134="","",IF(COUNTIFS('Blind Count Entry'!$C:$C,$A134,'Blind Count Entry'!$B:$B,"&gt;="&amp;DATE(YEAR(TODAY()),MONTH(TODAY()),1),'Blind Count Entry'!$B:$B,"&lt;="&amp;EOMONTH(TODAY(),0))&gt;0,"YES","NO"))</f>
        <v/>
      </c>
    </row>
    <row r="135">
      <c r="A135" s="8">
        <f>IF('Master Inventory'!A133="","",'Master Inventory'!A133)</f>
        <v/>
      </c>
      <c r="B135" s="8">
        <f>IF($A135="","",INDEX('Master Inventory'!$B:$B,MATCH($A135,'Master Inventory'!$A:$A,0)))</f>
        <v/>
      </c>
      <c r="C135" s="8">
        <f>IF($A135="","",IFERROR(INDEX('ABC Analysis'!$F:$F,MATCH($A135,'ABC Analysis'!$A:$A,0)),""))</f>
        <v/>
      </c>
      <c r="D135" s="8">
        <f>IF($C135="","",IF($C135="A",$K$1,IF($C135="B",$M$1,$O$1)))</f>
        <v/>
      </c>
      <c r="E135" s="12" t="n"/>
      <c r="F135" s="13">
        <f>IF(OR($A135="",$E135=""),"",$E135+$D135)</f>
        <v/>
      </c>
      <c r="G135" s="8">
        <f>IF($F135="","",IF($F135&lt;TODAY(),"OVERDUE","ON TRACK"))</f>
        <v/>
      </c>
      <c r="H135" s="8">
        <f>IF($A135="","",IF(COUNTIFS('Blind Count Entry'!$C:$C,$A135,'Blind Count Entry'!$B:$B,"&gt;="&amp;DATE(YEAR(TODAY()),MONTH(TODAY()),1),'Blind Count Entry'!$B:$B,"&lt;="&amp;EOMONTH(TODAY(),0))&gt;0,"YES","NO"))</f>
        <v/>
      </c>
    </row>
    <row r="136">
      <c r="A136" s="8">
        <f>IF('Master Inventory'!A134="","",'Master Inventory'!A134)</f>
        <v/>
      </c>
      <c r="B136" s="8">
        <f>IF($A136="","",INDEX('Master Inventory'!$B:$B,MATCH($A136,'Master Inventory'!$A:$A,0)))</f>
        <v/>
      </c>
      <c r="C136" s="8">
        <f>IF($A136="","",IFERROR(INDEX('ABC Analysis'!$F:$F,MATCH($A136,'ABC Analysis'!$A:$A,0)),""))</f>
        <v/>
      </c>
      <c r="D136" s="8">
        <f>IF($C136="","",IF($C136="A",$K$1,IF($C136="B",$M$1,$O$1)))</f>
        <v/>
      </c>
      <c r="E136" s="12" t="n"/>
      <c r="F136" s="13">
        <f>IF(OR($A136="",$E136=""),"",$E136+$D136)</f>
        <v/>
      </c>
      <c r="G136" s="8">
        <f>IF($F136="","",IF($F136&lt;TODAY(),"OVERDUE","ON TRACK"))</f>
        <v/>
      </c>
      <c r="H136" s="8">
        <f>IF($A136="","",IF(COUNTIFS('Blind Count Entry'!$C:$C,$A136,'Blind Count Entry'!$B:$B,"&gt;="&amp;DATE(YEAR(TODAY()),MONTH(TODAY()),1),'Blind Count Entry'!$B:$B,"&lt;="&amp;EOMONTH(TODAY(),0))&gt;0,"YES","NO"))</f>
        <v/>
      </c>
    </row>
    <row r="137">
      <c r="A137" s="8">
        <f>IF('Master Inventory'!A135="","",'Master Inventory'!A135)</f>
        <v/>
      </c>
      <c r="B137" s="8">
        <f>IF($A137="","",INDEX('Master Inventory'!$B:$B,MATCH($A137,'Master Inventory'!$A:$A,0)))</f>
        <v/>
      </c>
      <c r="C137" s="8">
        <f>IF($A137="","",IFERROR(INDEX('ABC Analysis'!$F:$F,MATCH($A137,'ABC Analysis'!$A:$A,0)),""))</f>
        <v/>
      </c>
      <c r="D137" s="8">
        <f>IF($C137="","",IF($C137="A",$K$1,IF($C137="B",$M$1,$O$1)))</f>
        <v/>
      </c>
      <c r="E137" s="12" t="n"/>
      <c r="F137" s="13">
        <f>IF(OR($A137="",$E137=""),"",$E137+$D137)</f>
        <v/>
      </c>
      <c r="G137" s="8">
        <f>IF($F137="","",IF($F137&lt;TODAY(),"OVERDUE","ON TRACK"))</f>
        <v/>
      </c>
      <c r="H137" s="8">
        <f>IF($A137="","",IF(COUNTIFS('Blind Count Entry'!$C:$C,$A137,'Blind Count Entry'!$B:$B,"&gt;="&amp;DATE(YEAR(TODAY()),MONTH(TODAY()),1),'Blind Count Entry'!$B:$B,"&lt;="&amp;EOMONTH(TODAY(),0))&gt;0,"YES","NO"))</f>
        <v/>
      </c>
    </row>
    <row r="138">
      <c r="A138" s="8">
        <f>IF('Master Inventory'!A136="","",'Master Inventory'!A136)</f>
        <v/>
      </c>
      <c r="B138" s="8">
        <f>IF($A138="","",INDEX('Master Inventory'!$B:$B,MATCH($A138,'Master Inventory'!$A:$A,0)))</f>
        <v/>
      </c>
      <c r="C138" s="8">
        <f>IF($A138="","",IFERROR(INDEX('ABC Analysis'!$F:$F,MATCH($A138,'ABC Analysis'!$A:$A,0)),""))</f>
        <v/>
      </c>
      <c r="D138" s="8">
        <f>IF($C138="","",IF($C138="A",$K$1,IF($C138="B",$M$1,$O$1)))</f>
        <v/>
      </c>
      <c r="E138" s="12" t="n"/>
      <c r="F138" s="13">
        <f>IF(OR($A138="",$E138=""),"",$E138+$D138)</f>
        <v/>
      </c>
      <c r="G138" s="8">
        <f>IF($F138="","",IF($F138&lt;TODAY(),"OVERDUE","ON TRACK"))</f>
        <v/>
      </c>
      <c r="H138" s="8">
        <f>IF($A138="","",IF(COUNTIFS('Blind Count Entry'!$C:$C,$A138,'Blind Count Entry'!$B:$B,"&gt;="&amp;DATE(YEAR(TODAY()),MONTH(TODAY()),1),'Blind Count Entry'!$B:$B,"&lt;="&amp;EOMONTH(TODAY(),0))&gt;0,"YES","NO"))</f>
        <v/>
      </c>
    </row>
    <row r="139">
      <c r="A139" s="8">
        <f>IF('Master Inventory'!A137="","",'Master Inventory'!A137)</f>
        <v/>
      </c>
      <c r="B139" s="8">
        <f>IF($A139="","",INDEX('Master Inventory'!$B:$B,MATCH($A139,'Master Inventory'!$A:$A,0)))</f>
        <v/>
      </c>
      <c r="C139" s="8">
        <f>IF($A139="","",IFERROR(INDEX('ABC Analysis'!$F:$F,MATCH($A139,'ABC Analysis'!$A:$A,0)),""))</f>
        <v/>
      </c>
      <c r="D139" s="8">
        <f>IF($C139="","",IF($C139="A",$K$1,IF($C139="B",$M$1,$O$1)))</f>
        <v/>
      </c>
      <c r="E139" s="12" t="n"/>
      <c r="F139" s="13">
        <f>IF(OR($A139="",$E139=""),"",$E139+$D139)</f>
        <v/>
      </c>
      <c r="G139" s="8">
        <f>IF($F139="","",IF($F139&lt;TODAY(),"OVERDUE","ON TRACK"))</f>
        <v/>
      </c>
      <c r="H139" s="8">
        <f>IF($A139="","",IF(COUNTIFS('Blind Count Entry'!$C:$C,$A139,'Blind Count Entry'!$B:$B,"&gt;="&amp;DATE(YEAR(TODAY()),MONTH(TODAY()),1),'Blind Count Entry'!$B:$B,"&lt;="&amp;EOMONTH(TODAY(),0))&gt;0,"YES","NO"))</f>
        <v/>
      </c>
    </row>
    <row r="140">
      <c r="A140" s="8">
        <f>IF('Master Inventory'!A138="","",'Master Inventory'!A138)</f>
        <v/>
      </c>
      <c r="B140" s="8">
        <f>IF($A140="","",INDEX('Master Inventory'!$B:$B,MATCH($A140,'Master Inventory'!$A:$A,0)))</f>
        <v/>
      </c>
      <c r="C140" s="8">
        <f>IF($A140="","",IFERROR(INDEX('ABC Analysis'!$F:$F,MATCH($A140,'ABC Analysis'!$A:$A,0)),""))</f>
        <v/>
      </c>
      <c r="D140" s="8">
        <f>IF($C140="","",IF($C140="A",$K$1,IF($C140="B",$M$1,$O$1)))</f>
        <v/>
      </c>
      <c r="E140" s="12" t="n"/>
      <c r="F140" s="13">
        <f>IF(OR($A140="",$E140=""),"",$E140+$D140)</f>
        <v/>
      </c>
      <c r="G140" s="8">
        <f>IF($F140="","",IF($F140&lt;TODAY(),"OVERDUE","ON TRACK"))</f>
        <v/>
      </c>
      <c r="H140" s="8">
        <f>IF($A140="","",IF(COUNTIFS('Blind Count Entry'!$C:$C,$A140,'Blind Count Entry'!$B:$B,"&gt;="&amp;DATE(YEAR(TODAY()),MONTH(TODAY()),1),'Blind Count Entry'!$B:$B,"&lt;="&amp;EOMONTH(TODAY(),0))&gt;0,"YES","NO"))</f>
        <v/>
      </c>
    </row>
    <row r="141">
      <c r="A141" s="8">
        <f>IF('Master Inventory'!A139="","",'Master Inventory'!A139)</f>
        <v/>
      </c>
      <c r="B141" s="8">
        <f>IF($A141="","",INDEX('Master Inventory'!$B:$B,MATCH($A141,'Master Inventory'!$A:$A,0)))</f>
        <v/>
      </c>
      <c r="C141" s="8">
        <f>IF($A141="","",IFERROR(INDEX('ABC Analysis'!$F:$F,MATCH($A141,'ABC Analysis'!$A:$A,0)),""))</f>
        <v/>
      </c>
      <c r="D141" s="8">
        <f>IF($C141="","",IF($C141="A",$K$1,IF($C141="B",$M$1,$O$1)))</f>
        <v/>
      </c>
      <c r="E141" s="12" t="n"/>
      <c r="F141" s="13">
        <f>IF(OR($A141="",$E141=""),"",$E141+$D141)</f>
        <v/>
      </c>
      <c r="G141" s="8">
        <f>IF($F141="","",IF($F141&lt;TODAY(),"OVERDUE","ON TRACK"))</f>
        <v/>
      </c>
      <c r="H141" s="8">
        <f>IF($A141="","",IF(COUNTIFS('Blind Count Entry'!$C:$C,$A141,'Blind Count Entry'!$B:$B,"&gt;="&amp;DATE(YEAR(TODAY()),MONTH(TODAY()),1),'Blind Count Entry'!$B:$B,"&lt;="&amp;EOMONTH(TODAY(),0))&gt;0,"YES","NO"))</f>
        <v/>
      </c>
    </row>
    <row r="142">
      <c r="A142" s="8">
        <f>IF('Master Inventory'!A140="","",'Master Inventory'!A140)</f>
        <v/>
      </c>
      <c r="B142" s="8">
        <f>IF($A142="","",INDEX('Master Inventory'!$B:$B,MATCH($A142,'Master Inventory'!$A:$A,0)))</f>
        <v/>
      </c>
      <c r="C142" s="8">
        <f>IF($A142="","",IFERROR(INDEX('ABC Analysis'!$F:$F,MATCH($A142,'ABC Analysis'!$A:$A,0)),""))</f>
        <v/>
      </c>
      <c r="D142" s="8">
        <f>IF($C142="","",IF($C142="A",$K$1,IF($C142="B",$M$1,$O$1)))</f>
        <v/>
      </c>
      <c r="E142" s="12" t="n"/>
      <c r="F142" s="13">
        <f>IF(OR($A142="",$E142=""),"",$E142+$D142)</f>
        <v/>
      </c>
      <c r="G142" s="8">
        <f>IF($F142="","",IF($F142&lt;TODAY(),"OVERDUE","ON TRACK"))</f>
        <v/>
      </c>
      <c r="H142" s="8">
        <f>IF($A142="","",IF(COUNTIFS('Blind Count Entry'!$C:$C,$A142,'Blind Count Entry'!$B:$B,"&gt;="&amp;DATE(YEAR(TODAY()),MONTH(TODAY()),1),'Blind Count Entry'!$B:$B,"&lt;="&amp;EOMONTH(TODAY(),0))&gt;0,"YES","NO"))</f>
        <v/>
      </c>
    </row>
    <row r="143">
      <c r="A143" s="8">
        <f>IF('Master Inventory'!A141="","",'Master Inventory'!A141)</f>
        <v/>
      </c>
      <c r="B143" s="8">
        <f>IF($A143="","",INDEX('Master Inventory'!$B:$B,MATCH($A143,'Master Inventory'!$A:$A,0)))</f>
        <v/>
      </c>
      <c r="C143" s="8">
        <f>IF($A143="","",IFERROR(INDEX('ABC Analysis'!$F:$F,MATCH($A143,'ABC Analysis'!$A:$A,0)),""))</f>
        <v/>
      </c>
      <c r="D143" s="8">
        <f>IF($C143="","",IF($C143="A",$K$1,IF($C143="B",$M$1,$O$1)))</f>
        <v/>
      </c>
      <c r="E143" s="12" t="n"/>
      <c r="F143" s="13">
        <f>IF(OR($A143="",$E143=""),"",$E143+$D143)</f>
        <v/>
      </c>
      <c r="G143" s="8">
        <f>IF($F143="","",IF($F143&lt;TODAY(),"OVERDUE","ON TRACK"))</f>
        <v/>
      </c>
      <c r="H143" s="8">
        <f>IF($A143="","",IF(COUNTIFS('Blind Count Entry'!$C:$C,$A143,'Blind Count Entry'!$B:$B,"&gt;="&amp;DATE(YEAR(TODAY()),MONTH(TODAY()),1),'Blind Count Entry'!$B:$B,"&lt;="&amp;EOMONTH(TODAY(),0))&gt;0,"YES","NO"))</f>
        <v/>
      </c>
    </row>
    <row r="144">
      <c r="A144" s="8">
        <f>IF('Master Inventory'!A142="","",'Master Inventory'!A142)</f>
        <v/>
      </c>
      <c r="B144" s="8">
        <f>IF($A144="","",INDEX('Master Inventory'!$B:$B,MATCH($A144,'Master Inventory'!$A:$A,0)))</f>
        <v/>
      </c>
      <c r="C144" s="8">
        <f>IF($A144="","",IFERROR(INDEX('ABC Analysis'!$F:$F,MATCH($A144,'ABC Analysis'!$A:$A,0)),""))</f>
        <v/>
      </c>
      <c r="D144" s="8">
        <f>IF($C144="","",IF($C144="A",$K$1,IF($C144="B",$M$1,$O$1)))</f>
        <v/>
      </c>
      <c r="E144" s="12" t="n"/>
      <c r="F144" s="13">
        <f>IF(OR($A144="",$E144=""),"",$E144+$D144)</f>
        <v/>
      </c>
      <c r="G144" s="8">
        <f>IF($F144="","",IF($F144&lt;TODAY(),"OVERDUE","ON TRACK"))</f>
        <v/>
      </c>
      <c r="H144" s="8">
        <f>IF($A144="","",IF(COUNTIFS('Blind Count Entry'!$C:$C,$A144,'Blind Count Entry'!$B:$B,"&gt;="&amp;DATE(YEAR(TODAY()),MONTH(TODAY()),1),'Blind Count Entry'!$B:$B,"&lt;="&amp;EOMONTH(TODAY(),0))&gt;0,"YES","NO"))</f>
        <v/>
      </c>
    </row>
    <row r="145">
      <c r="A145" s="8">
        <f>IF('Master Inventory'!A143="","",'Master Inventory'!A143)</f>
        <v/>
      </c>
      <c r="B145" s="8">
        <f>IF($A145="","",INDEX('Master Inventory'!$B:$B,MATCH($A145,'Master Inventory'!$A:$A,0)))</f>
        <v/>
      </c>
      <c r="C145" s="8">
        <f>IF($A145="","",IFERROR(INDEX('ABC Analysis'!$F:$F,MATCH($A145,'ABC Analysis'!$A:$A,0)),""))</f>
        <v/>
      </c>
      <c r="D145" s="8">
        <f>IF($C145="","",IF($C145="A",$K$1,IF($C145="B",$M$1,$O$1)))</f>
        <v/>
      </c>
      <c r="E145" s="12" t="n"/>
      <c r="F145" s="13">
        <f>IF(OR($A145="",$E145=""),"",$E145+$D145)</f>
        <v/>
      </c>
      <c r="G145" s="8">
        <f>IF($F145="","",IF($F145&lt;TODAY(),"OVERDUE","ON TRACK"))</f>
        <v/>
      </c>
      <c r="H145" s="8">
        <f>IF($A145="","",IF(COUNTIFS('Blind Count Entry'!$C:$C,$A145,'Blind Count Entry'!$B:$B,"&gt;="&amp;DATE(YEAR(TODAY()),MONTH(TODAY()),1),'Blind Count Entry'!$B:$B,"&lt;="&amp;EOMONTH(TODAY(),0))&gt;0,"YES","NO"))</f>
        <v/>
      </c>
    </row>
    <row r="146">
      <c r="A146" s="8">
        <f>IF('Master Inventory'!A144="","",'Master Inventory'!A144)</f>
        <v/>
      </c>
      <c r="B146" s="8">
        <f>IF($A146="","",INDEX('Master Inventory'!$B:$B,MATCH($A146,'Master Inventory'!$A:$A,0)))</f>
        <v/>
      </c>
      <c r="C146" s="8">
        <f>IF($A146="","",IFERROR(INDEX('ABC Analysis'!$F:$F,MATCH($A146,'ABC Analysis'!$A:$A,0)),""))</f>
        <v/>
      </c>
      <c r="D146" s="8">
        <f>IF($C146="","",IF($C146="A",$K$1,IF($C146="B",$M$1,$O$1)))</f>
        <v/>
      </c>
      <c r="E146" s="12" t="n"/>
      <c r="F146" s="13">
        <f>IF(OR($A146="",$E146=""),"",$E146+$D146)</f>
        <v/>
      </c>
      <c r="G146" s="8">
        <f>IF($F146="","",IF($F146&lt;TODAY(),"OVERDUE","ON TRACK"))</f>
        <v/>
      </c>
      <c r="H146" s="8">
        <f>IF($A146="","",IF(COUNTIFS('Blind Count Entry'!$C:$C,$A146,'Blind Count Entry'!$B:$B,"&gt;="&amp;DATE(YEAR(TODAY()),MONTH(TODAY()),1),'Blind Count Entry'!$B:$B,"&lt;="&amp;EOMONTH(TODAY(),0))&gt;0,"YES","NO"))</f>
        <v/>
      </c>
    </row>
    <row r="147">
      <c r="A147" s="8">
        <f>IF('Master Inventory'!A145="","",'Master Inventory'!A145)</f>
        <v/>
      </c>
      <c r="B147" s="8">
        <f>IF($A147="","",INDEX('Master Inventory'!$B:$B,MATCH($A147,'Master Inventory'!$A:$A,0)))</f>
        <v/>
      </c>
      <c r="C147" s="8">
        <f>IF($A147="","",IFERROR(INDEX('ABC Analysis'!$F:$F,MATCH($A147,'ABC Analysis'!$A:$A,0)),""))</f>
        <v/>
      </c>
      <c r="D147" s="8">
        <f>IF($C147="","",IF($C147="A",$K$1,IF($C147="B",$M$1,$O$1)))</f>
        <v/>
      </c>
      <c r="E147" s="12" t="n"/>
      <c r="F147" s="13">
        <f>IF(OR($A147="",$E147=""),"",$E147+$D147)</f>
        <v/>
      </c>
      <c r="G147" s="8">
        <f>IF($F147="","",IF($F147&lt;TODAY(),"OVERDUE","ON TRACK"))</f>
        <v/>
      </c>
      <c r="H147" s="8">
        <f>IF($A147="","",IF(COUNTIFS('Blind Count Entry'!$C:$C,$A147,'Blind Count Entry'!$B:$B,"&gt;="&amp;DATE(YEAR(TODAY()),MONTH(TODAY()),1),'Blind Count Entry'!$B:$B,"&lt;="&amp;EOMONTH(TODAY(),0))&gt;0,"YES","NO"))</f>
        <v/>
      </c>
    </row>
    <row r="148">
      <c r="A148" s="8">
        <f>IF('Master Inventory'!A146="","",'Master Inventory'!A146)</f>
        <v/>
      </c>
      <c r="B148" s="8">
        <f>IF($A148="","",INDEX('Master Inventory'!$B:$B,MATCH($A148,'Master Inventory'!$A:$A,0)))</f>
        <v/>
      </c>
      <c r="C148" s="8">
        <f>IF($A148="","",IFERROR(INDEX('ABC Analysis'!$F:$F,MATCH($A148,'ABC Analysis'!$A:$A,0)),""))</f>
        <v/>
      </c>
      <c r="D148" s="8">
        <f>IF($C148="","",IF($C148="A",$K$1,IF($C148="B",$M$1,$O$1)))</f>
        <v/>
      </c>
      <c r="E148" s="12" t="n"/>
      <c r="F148" s="13">
        <f>IF(OR($A148="",$E148=""),"",$E148+$D148)</f>
        <v/>
      </c>
      <c r="G148" s="8">
        <f>IF($F148="","",IF($F148&lt;TODAY(),"OVERDUE","ON TRACK"))</f>
        <v/>
      </c>
      <c r="H148" s="8">
        <f>IF($A148="","",IF(COUNTIFS('Blind Count Entry'!$C:$C,$A148,'Blind Count Entry'!$B:$B,"&gt;="&amp;DATE(YEAR(TODAY()),MONTH(TODAY()),1),'Blind Count Entry'!$B:$B,"&lt;="&amp;EOMONTH(TODAY(),0))&gt;0,"YES","NO"))</f>
        <v/>
      </c>
    </row>
    <row r="149">
      <c r="A149" s="8">
        <f>IF('Master Inventory'!A147="","",'Master Inventory'!A147)</f>
        <v/>
      </c>
      <c r="B149" s="8">
        <f>IF($A149="","",INDEX('Master Inventory'!$B:$B,MATCH($A149,'Master Inventory'!$A:$A,0)))</f>
        <v/>
      </c>
      <c r="C149" s="8">
        <f>IF($A149="","",IFERROR(INDEX('ABC Analysis'!$F:$F,MATCH($A149,'ABC Analysis'!$A:$A,0)),""))</f>
        <v/>
      </c>
      <c r="D149" s="8">
        <f>IF($C149="","",IF($C149="A",$K$1,IF($C149="B",$M$1,$O$1)))</f>
        <v/>
      </c>
      <c r="E149" s="12" t="n"/>
      <c r="F149" s="13">
        <f>IF(OR($A149="",$E149=""),"",$E149+$D149)</f>
        <v/>
      </c>
      <c r="G149" s="8">
        <f>IF($F149="","",IF($F149&lt;TODAY(),"OVERDUE","ON TRACK"))</f>
        <v/>
      </c>
      <c r="H149" s="8">
        <f>IF($A149="","",IF(COUNTIFS('Blind Count Entry'!$C:$C,$A149,'Blind Count Entry'!$B:$B,"&gt;="&amp;DATE(YEAR(TODAY()),MONTH(TODAY()),1),'Blind Count Entry'!$B:$B,"&lt;="&amp;EOMONTH(TODAY(),0))&gt;0,"YES","NO"))</f>
        <v/>
      </c>
    </row>
    <row r="150">
      <c r="A150" s="8">
        <f>IF('Master Inventory'!A148="","",'Master Inventory'!A148)</f>
        <v/>
      </c>
      <c r="B150" s="8">
        <f>IF($A150="","",INDEX('Master Inventory'!$B:$B,MATCH($A150,'Master Inventory'!$A:$A,0)))</f>
        <v/>
      </c>
      <c r="C150" s="8">
        <f>IF($A150="","",IFERROR(INDEX('ABC Analysis'!$F:$F,MATCH($A150,'ABC Analysis'!$A:$A,0)),""))</f>
        <v/>
      </c>
      <c r="D150" s="8">
        <f>IF($C150="","",IF($C150="A",$K$1,IF($C150="B",$M$1,$O$1)))</f>
        <v/>
      </c>
      <c r="E150" s="12" t="n"/>
      <c r="F150" s="13">
        <f>IF(OR($A150="",$E150=""),"",$E150+$D150)</f>
        <v/>
      </c>
      <c r="G150" s="8">
        <f>IF($F150="","",IF($F150&lt;TODAY(),"OVERDUE","ON TRACK"))</f>
        <v/>
      </c>
      <c r="H150" s="8">
        <f>IF($A150="","",IF(COUNTIFS('Blind Count Entry'!$C:$C,$A150,'Blind Count Entry'!$B:$B,"&gt;="&amp;DATE(YEAR(TODAY()),MONTH(TODAY()),1),'Blind Count Entry'!$B:$B,"&lt;="&amp;EOMONTH(TODAY(),0))&gt;0,"YES","NO"))</f>
        <v/>
      </c>
    </row>
    <row r="151">
      <c r="A151" s="8">
        <f>IF('Master Inventory'!A149="","",'Master Inventory'!A149)</f>
        <v/>
      </c>
      <c r="B151" s="8">
        <f>IF($A151="","",INDEX('Master Inventory'!$B:$B,MATCH($A151,'Master Inventory'!$A:$A,0)))</f>
        <v/>
      </c>
      <c r="C151" s="8">
        <f>IF($A151="","",IFERROR(INDEX('ABC Analysis'!$F:$F,MATCH($A151,'ABC Analysis'!$A:$A,0)),""))</f>
        <v/>
      </c>
      <c r="D151" s="8">
        <f>IF($C151="","",IF($C151="A",$K$1,IF($C151="B",$M$1,$O$1)))</f>
        <v/>
      </c>
      <c r="E151" s="12" t="n"/>
      <c r="F151" s="13">
        <f>IF(OR($A151="",$E151=""),"",$E151+$D151)</f>
        <v/>
      </c>
      <c r="G151" s="8">
        <f>IF($F151="","",IF($F151&lt;TODAY(),"OVERDUE","ON TRACK"))</f>
        <v/>
      </c>
      <c r="H151" s="8">
        <f>IF($A151="","",IF(COUNTIFS('Blind Count Entry'!$C:$C,$A151,'Blind Count Entry'!$B:$B,"&gt;="&amp;DATE(YEAR(TODAY()),MONTH(TODAY()),1),'Blind Count Entry'!$B:$B,"&lt;="&amp;EOMONTH(TODAY(),0))&gt;0,"YES","NO"))</f>
        <v/>
      </c>
    </row>
    <row r="152">
      <c r="A152" s="8">
        <f>IF('Master Inventory'!A150="","",'Master Inventory'!A150)</f>
        <v/>
      </c>
      <c r="B152" s="8">
        <f>IF($A152="","",INDEX('Master Inventory'!$B:$B,MATCH($A152,'Master Inventory'!$A:$A,0)))</f>
        <v/>
      </c>
      <c r="C152" s="8">
        <f>IF($A152="","",IFERROR(INDEX('ABC Analysis'!$F:$F,MATCH($A152,'ABC Analysis'!$A:$A,0)),""))</f>
        <v/>
      </c>
      <c r="D152" s="8">
        <f>IF($C152="","",IF($C152="A",$K$1,IF($C152="B",$M$1,$O$1)))</f>
        <v/>
      </c>
      <c r="E152" s="12" t="n"/>
      <c r="F152" s="13">
        <f>IF(OR($A152="",$E152=""),"",$E152+$D152)</f>
        <v/>
      </c>
      <c r="G152" s="8">
        <f>IF($F152="","",IF($F152&lt;TODAY(),"OVERDUE","ON TRACK"))</f>
        <v/>
      </c>
      <c r="H152" s="8">
        <f>IF($A152="","",IF(COUNTIFS('Blind Count Entry'!$C:$C,$A152,'Blind Count Entry'!$B:$B,"&gt;="&amp;DATE(YEAR(TODAY()),MONTH(TODAY()),1),'Blind Count Entry'!$B:$B,"&lt;="&amp;EOMONTH(TODAY(),0))&gt;0,"YES","NO"))</f>
        <v/>
      </c>
    </row>
    <row r="153">
      <c r="A153" s="8">
        <f>IF('Master Inventory'!A151="","",'Master Inventory'!A151)</f>
        <v/>
      </c>
      <c r="B153" s="8">
        <f>IF($A153="","",INDEX('Master Inventory'!$B:$B,MATCH($A153,'Master Inventory'!$A:$A,0)))</f>
        <v/>
      </c>
      <c r="C153" s="8">
        <f>IF($A153="","",IFERROR(INDEX('ABC Analysis'!$F:$F,MATCH($A153,'ABC Analysis'!$A:$A,0)),""))</f>
        <v/>
      </c>
      <c r="D153" s="8">
        <f>IF($C153="","",IF($C153="A",$K$1,IF($C153="B",$M$1,$O$1)))</f>
        <v/>
      </c>
      <c r="E153" s="12" t="n"/>
      <c r="F153" s="13">
        <f>IF(OR($A153="",$E153=""),"",$E153+$D153)</f>
        <v/>
      </c>
      <c r="G153" s="8">
        <f>IF($F153="","",IF($F153&lt;TODAY(),"OVERDUE","ON TRACK"))</f>
        <v/>
      </c>
      <c r="H153" s="8">
        <f>IF($A153="","",IF(COUNTIFS('Blind Count Entry'!$C:$C,$A153,'Blind Count Entry'!$B:$B,"&gt;="&amp;DATE(YEAR(TODAY()),MONTH(TODAY()),1),'Blind Count Entry'!$B:$B,"&lt;="&amp;EOMONTH(TODAY(),0))&gt;0,"YES","NO"))</f>
        <v/>
      </c>
    </row>
    <row r="154">
      <c r="A154" s="8">
        <f>IF('Master Inventory'!A152="","",'Master Inventory'!A152)</f>
        <v/>
      </c>
      <c r="B154" s="8">
        <f>IF($A154="","",INDEX('Master Inventory'!$B:$B,MATCH($A154,'Master Inventory'!$A:$A,0)))</f>
        <v/>
      </c>
      <c r="C154" s="8">
        <f>IF($A154="","",IFERROR(INDEX('ABC Analysis'!$F:$F,MATCH($A154,'ABC Analysis'!$A:$A,0)),""))</f>
        <v/>
      </c>
      <c r="D154" s="8">
        <f>IF($C154="","",IF($C154="A",$K$1,IF($C154="B",$M$1,$O$1)))</f>
        <v/>
      </c>
      <c r="E154" s="12" t="n"/>
      <c r="F154" s="13">
        <f>IF(OR($A154="",$E154=""),"",$E154+$D154)</f>
        <v/>
      </c>
      <c r="G154" s="8">
        <f>IF($F154="","",IF($F154&lt;TODAY(),"OVERDUE","ON TRACK"))</f>
        <v/>
      </c>
      <c r="H154" s="8">
        <f>IF($A154="","",IF(COUNTIFS('Blind Count Entry'!$C:$C,$A154,'Blind Count Entry'!$B:$B,"&gt;="&amp;DATE(YEAR(TODAY()),MONTH(TODAY()),1),'Blind Count Entry'!$B:$B,"&lt;="&amp;EOMONTH(TODAY(),0))&gt;0,"YES","NO"))</f>
        <v/>
      </c>
    </row>
    <row r="155">
      <c r="A155" s="8">
        <f>IF('Master Inventory'!A153="","",'Master Inventory'!A153)</f>
        <v/>
      </c>
      <c r="B155" s="8">
        <f>IF($A155="","",INDEX('Master Inventory'!$B:$B,MATCH($A155,'Master Inventory'!$A:$A,0)))</f>
        <v/>
      </c>
      <c r="C155" s="8">
        <f>IF($A155="","",IFERROR(INDEX('ABC Analysis'!$F:$F,MATCH($A155,'ABC Analysis'!$A:$A,0)),""))</f>
        <v/>
      </c>
      <c r="D155" s="8">
        <f>IF($C155="","",IF($C155="A",$K$1,IF($C155="B",$M$1,$O$1)))</f>
        <v/>
      </c>
      <c r="E155" s="12" t="n"/>
      <c r="F155" s="13">
        <f>IF(OR($A155="",$E155=""),"",$E155+$D155)</f>
        <v/>
      </c>
      <c r="G155" s="8">
        <f>IF($F155="","",IF($F155&lt;TODAY(),"OVERDUE","ON TRACK"))</f>
        <v/>
      </c>
      <c r="H155" s="8">
        <f>IF($A155="","",IF(COUNTIFS('Blind Count Entry'!$C:$C,$A155,'Blind Count Entry'!$B:$B,"&gt;="&amp;DATE(YEAR(TODAY()),MONTH(TODAY()),1),'Blind Count Entry'!$B:$B,"&lt;="&amp;EOMONTH(TODAY(),0))&gt;0,"YES","NO"))</f>
        <v/>
      </c>
    </row>
    <row r="156">
      <c r="A156" s="8">
        <f>IF('Master Inventory'!A154="","",'Master Inventory'!A154)</f>
        <v/>
      </c>
      <c r="B156" s="8">
        <f>IF($A156="","",INDEX('Master Inventory'!$B:$B,MATCH($A156,'Master Inventory'!$A:$A,0)))</f>
        <v/>
      </c>
      <c r="C156" s="8">
        <f>IF($A156="","",IFERROR(INDEX('ABC Analysis'!$F:$F,MATCH($A156,'ABC Analysis'!$A:$A,0)),""))</f>
        <v/>
      </c>
      <c r="D156" s="8">
        <f>IF($C156="","",IF($C156="A",$K$1,IF($C156="B",$M$1,$O$1)))</f>
        <v/>
      </c>
      <c r="E156" s="12" t="n"/>
      <c r="F156" s="13">
        <f>IF(OR($A156="",$E156=""),"",$E156+$D156)</f>
        <v/>
      </c>
      <c r="G156" s="8">
        <f>IF($F156="","",IF($F156&lt;TODAY(),"OVERDUE","ON TRACK"))</f>
        <v/>
      </c>
      <c r="H156" s="8">
        <f>IF($A156="","",IF(COUNTIFS('Blind Count Entry'!$C:$C,$A156,'Blind Count Entry'!$B:$B,"&gt;="&amp;DATE(YEAR(TODAY()),MONTH(TODAY()),1),'Blind Count Entry'!$B:$B,"&lt;="&amp;EOMONTH(TODAY(),0))&gt;0,"YES","NO"))</f>
        <v/>
      </c>
    </row>
    <row r="157">
      <c r="A157" s="8">
        <f>IF('Master Inventory'!A155="","",'Master Inventory'!A155)</f>
        <v/>
      </c>
      <c r="B157" s="8">
        <f>IF($A157="","",INDEX('Master Inventory'!$B:$B,MATCH($A157,'Master Inventory'!$A:$A,0)))</f>
        <v/>
      </c>
      <c r="C157" s="8">
        <f>IF($A157="","",IFERROR(INDEX('ABC Analysis'!$F:$F,MATCH($A157,'ABC Analysis'!$A:$A,0)),""))</f>
        <v/>
      </c>
      <c r="D157" s="8">
        <f>IF($C157="","",IF($C157="A",$K$1,IF($C157="B",$M$1,$O$1)))</f>
        <v/>
      </c>
      <c r="E157" s="12" t="n"/>
      <c r="F157" s="13">
        <f>IF(OR($A157="",$E157=""),"",$E157+$D157)</f>
        <v/>
      </c>
      <c r="G157" s="8">
        <f>IF($F157="","",IF($F157&lt;TODAY(),"OVERDUE","ON TRACK"))</f>
        <v/>
      </c>
      <c r="H157" s="8">
        <f>IF($A157="","",IF(COUNTIFS('Blind Count Entry'!$C:$C,$A157,'Blind Count Entry'!$B:$B,"&gt;="&amp;DATE(YEAR(TODAY()),MONTH(TODAY()),1),'Blind Count Entry'!$B:$B,"&lt;="&amp;EOMONTH(TODAY(),0))&gt;0,"YES","NO"))</f>
        <v/>
      </c>
    </row>
    <row r="158">
      <c r="A158" s="8">
        <f>IF('Master Inventory'!A156="","",'Master Inventory'!A156)</f>
        <v/>
      </c>
      <c r="B158" s="8">
        <f>IF($A158="","",INDEX('Master Inventory'!$B:$B,MATCH($A158,'Master Inventory'!$A:$A,0)))</f>
        <v/>
      </c>
      <c r="C158" s="8">
        <f>IF($A158="","",IFERROR(INDEX('ABC Analysis'!$F:$F,MATCH($A158,'ABC Analysis'!$A:$A,0)),""))</f>
        <v/>
      </c>
      <c r="D158" s="8">
        <f>IF($C158="","",IF($C158="A",$K$1,IF($C158="B",$M$1,$O$1)))</f>
        <v/>
      </c>
      <c r="E158" s="12" t="n"/>
      <c r="F158" s="13">
        <f>IF(OR($A158="",$E158=""),"",$E158+$D158)</f>
        <v/>
      </c>
      <c r="G158" s="8">
        <f>IF($F158="","",IF($F158&lt;TODAY(),"OVERDUE","ON TRACK"))</f>
        <v/>
      </c>
      <c r="H158" s="8">
        <f>IF($A158="","",IF(COUNTIFS('Blind Count Entry'!$C:$C,$A158,'Blind Count Entry'!$B:$B,"&gt;="&amp;DATE(YEAR(TODAY()),MONTH(TODAY()),1),'Blind Count Entry'!$B:$B,"&lt;="&amp;EOMONTH(TODAY(),0))&gt;0,"YES","NO"))</f>
        <v/>
      </c>
    </row>
    <row r="159">
      <c r="A159" s="8">
        <f>IF('Master Inventory'!A157="","",'Master Inventory'!A157)</f>
        <v/>
      </c>
      <c r="B159" s="8">
        <f>IF($A159="","",INDEX('Master Inventory'!$B:$B,MATCH($A159,'Master Inventory'!$A:$A,0)))</f>
        <v/>
      </c>
      <c r="C159" s="8">
        <f>IF($A159="","",IFERROR(INDEX('ABC Analysis'!$F:$F,MATCH($A159,'ABC Analysis'!$A:$A,0)),""))</f>
        <v/>
      </c>
      <c r="D159" s="8">
        <f>IF($C159="","",IF($C159="A",$K$1,IF($C159="B",$M$1,$O$1)))</f>
        <v/>
      </c>
      <c r="E159" s="12" t="n"/>
      <c r="F159" s="13">
        <f>IF(OR($A159="",$E159=""),"",$E159+$D159)</f>
        <v/>
      </c>
      <c r="G159" s="8">
        <f>IF($F159="","",IF($F159&lt;TODAY(),"OVERDUE","ON TRACK"))</f>
        <v/>
      </c>
      <c r="H159" s="8">
        <f>IF($A159="","",IF(COUNTIFS('Blind Count Entry'!$C:$C,$A159,'Blind Count Entry'!$B:$B,"&gt;="&amp;DATE(YEAR(TODAY()),MONTH(TODAY()),1),'Blind Count Entry'!$B:$B,"&lt;="&amp;EOMONTH(TODAY(),0))&gt;0,"YES","NO"))</f>
        <v/>
      </c>
    </row>
    <row r="160">
      <c r="A160" s="8">
        <f>IF('Master Inventory'!A158="","",'Master Inventory'!A158)</f>
        <v/>
      </c>
      <c r="B160" s="8">
        <f>IF($A160="","",INDEX('Master Inventory'!$B:$B,MATCH($A160,'Master Inventory'!$A:$A,0)))</f>
        <v/>
      </c>
      <c r="C160" s="8">
        <f>IF($A160="","",IFERROR(INDEX('ABC Analysis'!$F:$F,MATCH($A160,'ABC Analysis'!$A:$A,0)),""))</f>
        <v/>
      </c>
      <c r="D160" s="8">
        <f>IF($C160="","",IF($C160="A",$K$1,IF($C160="B",$M$1,$O$1)))</f>
        <v/>
      </c>
      <c r="E160" s="12" t="n"/>
      <c r="F160" s="13">
        <f>IF(OR($A160="",$E160=""),"",$E160+$D160)</f>
        <v/>
      </c>
      <c r="G160" s="8">
        <f>IF($F160="","",IF($F160&lt;TODAY(),"OVERDUE","ON TRACK"))</f>
        <v/>
      </c>
      <c r="H160" s="8">
        <f>IF($A160="","",IF(COUNTIFS('Blind Count Entry'!$C:$C,$A160,'Blind Count Entry'!$B:$B,"&gt;="&amp;DATE(YEAR(TODAY()),MONTH(TODAY()),1),'Blind Count Entry'!$B:$B,"&lt;="&amp;EOMONTH(TODAY(),0))&gt;0,"YES","NO"))</f>
        <v/>
      </c>
    </row>
    <row r="161">
      <c r="A161" s="8">
        <f>IF('Master Inventory'!A159="","",'Master Inventory'!A159)</f>
        <v/>
      </c>
      <c r="B161" s="8">
        <f>IF($A161="","",INDEX('Master Inventory'!$B:$B,MATCH($A161,'Master Inventory'!$A:$A,0)))</f>
        <v/>
      </c>
      <c r="C161" s="8">
        <f>IF($A161="","",IFERROR(INDEX('ABC Analysis'!$F:$F,MATCH($A161,'ABC Analysis'!$A:$A,0)),""))</f>
        <v/>
      </c>
      <c r="D161" s="8">
        <f>IF($C161="","",IF($C161="A",$K$1,IF($C161="B",$M$1,$O$1)))</f>
        <v/>
      </c>
      <c r="E161" s="12" t="n"/>
      <c r="F161" s="13">
        <f>IF(OR($A161="",$E161=""),"",$E161+$D161)</f>
        <v/>
      </c>
      <c r="G161" s="8">
        <f>IF($F161="","",IF($F161&lt;TODAY(),"OVERDUE","ON TRACK"))</f>
        <v/>
      </c>
      <c r="H161" s="8">
        <f>IF($A161="","",IF(COUNTIFS('Blind Count Entry'!$C:$C,$A161,'Blind Count Entry'!$B:$B,"&gt;="&amp;DATE(YEAR(TODAY()),MONTH(TODAY()),1),'Blind Count Entry'!$B:$B,"&lt;="&amp;EOMONTH(TODAY(),0))&gt;0,"YES","NO"))</f>
        <v/>
      </c>
    </row>
    <row r="162">
      <c r="A162" s="8">
        <f>IF('Master Inventory'!A160="","",'Master Inventory'!A160)</f>
        <v/>
      </c>
      <c r="B162" s="8">
        <f>IF($A162="","",INDEX('Master Inventory'!$B:$B,MATCH($A162,'Master Inventory'!$A:$A,0)))</f>
        <v/>
      </c>
      <c r="C162" s="8">
        <f>IF($A162="","",IFERROR(INDEX('ABC Analysis'!$F:$F,MATCH($A162,'ABC Analysis'!$A:$A,0)),""))</f>
        <v/>
      </c>
      <c r="D162" s="8">
        <f>IF($C162="","",IF($C162="A",$K$1,IF($C162="B",$M$1,$O$1)))</f>
        <v/>
      </c>
      <c r="E162" s="12" t="n"/>
      <c r="F162" s="13">
        <f>IF(OR($A162="",$E162=""),"",$E162+$D162)</f>
        <v/>
      </c>
      <c r="G162" s="8">
        <f>IF($F162="","",IF($F162&lt;TODAY(),"OVERDUE","ON TRACK"))</f>
        <v/>
      </c>
      <c r="H162" s="8">
        <f>IF($A162="","",IF(COUNTIFS('Blind Count Entry'!$C:$C,$A162,'Blind Count Entry'!$B:$B,"&gt;="&amp;DATE(YEAR(TODAY()),MONTH(TODAY()),1),'Blind Count Entry'!$B:$B,"&lt;="&amp;EOMONTH(TODAY(),0))&gt;0,"YES","NO"))</f>
        <v/>
      </c>
    </row>
    <row r="163">
      <c r="A163" s="8">
        <f>IF('Master Inventory'!A161="","",'Master Inventory'!A161)</f>
        <v/>
      </c>
      <c r="B163" s="8">
        <f>IF($A163="","",INDEX('Master Inventory'!$B:$B,MATCH($A163,'Master Inventory'!$A:$A,0)))</f>
        <v/>
      </c>
      <c r="C163" s="8">
        <f>IF($A163="","",IFERROR(INDEX('ABC Analysis'!$F:$F,MATCH($A163,'ABC Analysis'!$A:$A,0)),""))</f>
        <v/>
      </c>
      <c r="D163" s="8">
        <f>IF($C163="","",IF($C163="A",$K$1,IF($C163="B",$M$1,$O$1)))</f>
        <v/>
      </c>
      <c r="E163" s="12" t="n"/>
      <c r="F163" s="13">
        <f>IF(OR($A163="",$E163=""),"",$E163+$D163)</f>
        <v/>
      </c>
      <c r="G163" s="8">
        <f>IF($F163="","",IF($F163&lt;TODAY(),"OVERDUE","ON TRACK"))</f>
        <v/>
      </c>
      <c r="H163" s="8">
        <f>IF($A163="","",IF(COUNTIFS('Blind Count Entry'!$C:$C,$A163,'Blind Count Entry'!$B:$B,"&gt;="&amp;DATE(YEAR(TODAY()),MONTH(TODAY()),1),'Blind Count Entry'!$B:$B,"&lt;="&amp;EOMONTH(TODAY(),0))&gt;0,"YES","NO"))</f>
        <v/>
      </c>
    </row>
    <row r="164">
      <c r="A164" s="8">
        <f>IF('Master Inventory'!A162="","",'Master Inventory'!A162)</f>
        <v/>
      </c>
      <c r="B164" s="8">
        <f>IF($A164="","",INDEX('Master Inventory'!$B:$B,MATCH($A164,'Master Inventory'!$A:$A,0)))</f>
        <v/>
      </c>
      <c r="C164" s="8">
        <f>IF($A164="","",IFERROR(INDEX('ABC Analysis'!$F:$F,MATCH($A164,'ABC Analysis'!$A:$A,0)),""))</f>
        <v/>
      </c>
      <c r="D164" s="8">
        <f>IF($C164="","",IF($C164="A",$K$1,IF($C164="B",$M$1,$O$1)))</f>
        <v/>
      </c>
      <c r="E164" s="12" t="n"/>
      <c r="F164" s="13">
        <f>IF(OR($A164="",$E164=""),"",$E164+$D164)</f>
        <v/>
      </c>
      <c r="G164" s="8">
        <f>IF($F164="","",IF($F164&lt;TODAY(),"OVERDUE","ON TRACK"))</f>
        <v/>
      </c>
      <c r="H164" s="8">
        <f>IF($A164="","",IF(COUNTIFS('Blind Count Entry'!$C:$C,$A164,'Blind Count Entry'!$B:$B,"&gt;="&amp;DATE(YEAR(TODAY()),MONTH(TODAY()),1),'Blind Count Entry'!$B:$B,"&lt;="&amp;EOMONTH(TODAY(),0))&gt;0,"YES","NO"))</f>
        <v/>
      </c>
    </row>
    <row r="165">
      <c r="A165" s="8">
        <f>IF('Master Inventory'!A163="","",'Master Inventory'!A163)</f>
        <v/>
      </c>
      <c r="B165" s="8">
        <f>IF($A165="","",INDEX('Master Inventory'!$B:$B,MATCH($A165,'Master Inventory'!$A:$A,0)))</f>
        <v/>
      </c>
      <c r="C165" s="8">
        <f>IF($A165="","",IFERROR(INDEX('ABC Analysis'!$F:$F,MATCH($A165,'ABC Analysis'!$A:$A,0)),""))</f>
        <v/>
      </c>
      <c r="D165" s="8">
        <f>IF($C165="","",IF($C165="A",$K$1,IF($C165="B",$M$1,$O$1)))</f>
        <v/>
      </c>
      <c r="E165" s="12" t="n"/>
      <c r="F165" s="13">
        <f>IF(OR($A165="",$E165=""),"",$E165+$D165)</f>
        <v/>
      </c>
      <c r="G165" s="8">
        <f>IF($F165="","",IF($F165&lt;TODAY(),"OVERDUE","ON TRACK"))</f>
        <v/>
      </c>
      <c r="H165" s="8">
        <f>IF($A165="","",IF(COUNTIFS('Blind Count Entry'!$C:$C,$A165,'Blind Count Entry'!$B:$B,"&gt;="&amp;DATE(YEAR(TODAY()),MONTH(TODAY()),1),'Blind Count Entry'!$B:$B,"&lt;="&amp;EOMONTH(TODAY(),0))&gt;0,"YES","NO"))</f>
        <v/>
      </c>
    </row>
    <row r="166">
      <c r="A166" s="8">
        <f>IF('Master Inventory'!A164="","",'Master Inventory'!A164)</f>
        <v/>
      </c>
      <c r="B166" s="8">
        <f>IF($A166="","",INDEX('Master Inventory'!$B:$B,MATCH($A166,'Master Inventory'!$A:$A,0)))</f>
        <v/>
      </c>
      <c r="C166" s="8">
        <f>IF($A166="","",IFERROR(INDEX('ABC Analysis'!$F:$F,MATCH($A166,'ABC Analysis'!$A:$A,0)),""))</f>
        <v/>
      </c>
      <c r="D166" s="8">
        <f>IF($C166="","",IF($C166="A",$K$1,IF($C166="B",$M$1,$O$1)))</f>
        <v/>
      </c>
      <c r="E166" s="12" t="n"/>
      <c r="F166" s="13">
        <f>IF(OR($A166="",$E166=""),"",$E166+$D166)</f>
        <v/>
      </c>
      <c r="G166" s="8">
        <f>IF($F166="","",IF($F166&lt;TODAY(),"OVERDUE","ON TRACK"))</f>
        <v/>
      </c>
      <c r="H166" s="8">
        <f>IF($A166="","",IF(COUNTIFS('Blind Count Entry'!$C:$C,$A166,'Blind Count Entry'!$B:$B,"&gt;="&amp;DATE(YEAR(TODAY()),MONTH(TODAY()),1),'Blind Count Entry'!$B:$B,"&lt;="&amp;EOMONTH(TODAY(),0))&gt;0,"YES","NO"))</f>
        <v/>
      </c>
    </row>
    <row r="167">
      <c r="A167" s="8">
        <f>IF('Master Inventory'!A165="","",'Master Inventory'!A165)</f>
        <v/>
      </c>
      <c r="B167" s="8">
        <f>IF($A167="","",INDEX('Master Inventory'!$B:$B,MATCH($A167,'Master Inventory'!$A:$A,0)))</f>
        <v/>
      </c>
      <c r="C167" s="8">
        <f>IF($A167="","",IFERROR(INDEX('ABC Analysis'!$F:$F,MATCH($A167,'ABC Analysis'!$A:$A,0)),""))</f>
        <v/>
      </c>
      <c r="D167" s="8">
        <f>IF($C167="","",IF($C167="A",$K$1,IF($C167="B",$M$1,$O$1)))</f>
        <v/>
      </c>
      <c r="E167" s="12" t="n"/>
      <c r="F167" s="13">
        <f>IF(OR($A167="",$E167=""),"",$E167+$D167)</f>
        <v/>
      </c>
      <c r="G167" s="8">
        <f>IF($F167="","",IF($F167&lt;TODAY(),"OVERDUE","ON TRACK"))</f>
        <v/>
      </c>
      <c r="H167" s="8">
        <f>IF($A167="","",IF(COUNTIFS('Blind Count Entry'!$C:$C,$A167,'Blind Count Entry'!$B:$B,"&gt;="&amp;DATE(YEAR(TODAY()),MONTH(TODAY()),1),'Blind Count Entry'!$B:$B,"&lt;="&amp;EOMONTH(TODAY(),0))&gt;0,"YES","NO"))</f>
        <v/>
      </c>
    </row>
    <row r="168">
      <c r="A168" s="8">
        <f>IF('Master Inventory'!A166="","",'Master Inventory'!A166)</f>
        <v/>
      </c>
      <c r="B168" s="8">
        <f>IF($A168="","",INDEX('Master Inventory'!$B:$B,MATCH($A168,'Master Inventory'!$A:$A,0)))</f>
        <v/>
      </c>
      <c r="C168" s="8">
        <f>IF($A168="","",IFERROR(INDEX('ABC Analysis'!$F:$F,MATCH($A168,'ABC Analysis'!$A:$A,0)),""))</f>
        <v/>
      </c>
      <c r="D168" s="8">
        <f>IF($C168="","",IF($C168="A",$K$1,IF($C168="B",$M$1,$O$1)))</f>
        <v/>
      </c>
      <c r="E168" s="12" t="n"/>
      <c r="F168" s="13">
        <f>IF(OR($A168="",$E168=""),"",$E168+$D168)</f>
        <v/>
      </c>
      <c r="G168" s="8">
        <f>IF($F168="","",IF($F168&lt;TODAY(),"OVERDUE","ON TRACK"))</f>
        <v/>
      </c>
      <c r="H168" s="8">
        <f>IF($A168="","",IF(COUNTIFS('Blind Count Entry'!$C:$C,$A168,'Blind Count Entry'!$B:$B,"&gt;="&amp;DATE(YEAR(TODAY()),MONTH(TODAY()),1),'Blind Count Entry'!$B:$B,"&lt;="&amp;EOMONTH(TODAY(),0))&gt;0,"YES","NO"))</f>
        <v/>
      </c>
    </row>
    <row r="169">
      <c r="A169" s="8">
        <f>IF('Master Inventory'!A167="","",'Master Inventory'!A167)</f>
        <v/>
      </c>
      <c r="B169" s="8">
        <f>IF($A169="","",INDEX('Master Inventory'!$B:$B,MATCH($A169,'Master Inventory'!$A:$A,0)))</f>
        <v/>
      </c>
      <c r="C169" s="8">
        <f>IF($A169="","",IFERROR(INDEX('ABC Analysis'!$F:$F,MATCH($A169,'ABC Analysis'!$A:$A,0)),""))</f>
        <v/>
      </c>
      <c r="D169" s="8">
        <f>IF($C169="","",IF($C169="A",$K$1,IF($C169="B",$M$1,$O$1)))</f>
        <v/>
      </c>
      <c r="E169" s="12" t="n"/>
      <c r="F169" s="13">
        <f>IF(OR($A169="",$E169=""),"",$E169+$D169)</f>
        <v/>
      </c>
      <c r="G169" s="8">
        <f>IF($F169="","",IF($F169&lt;TODAY(),"OVERDUE","ON TRACK"))</f>
        <v/>
      </c>
      <c r="H169" s="8">
        <f>IF($A169="","",IF(COUNTIFS('Blind Count Entry'!$C:$C,$A169,'Blind Count Entry'!$B:$B,"&gt;="&amp;DATE(YEAR(TODAY()),MONTH(TODAY()),1),'Blind Count Entry'!$B:$B,"&lt;="&amp;EOMONTH(TODAY(),0))&gt;0,"YES","NO"))</f>
        <v/>
      </c>
    </row>
    <row r="170">
      <c r="A170" s="8">
        <f>IF('Master Inventory'!A168="","",'Master Inventory'!A168)</f>
        <v/>
      </c>
      <c r="B170" s="8">
        <f>IF($A170="","",INDEX('Master Inventory'!$B:$B,MATCH($A170,'Master Inventory'!$A:$A,0)))</f>
        <v/>
      </c>
      <c r="C170" s="8">
        <f>IF($A170="","",IFERROR(INDEX('ABC Analysis'!$F:$F,MATCH($A170,'ABC Analysis'!$A:$A,0)),""))</f>
        <v/>
      </c>
      <c r="D170" s="8">
        <f>IF($C170="","",IF($C170="A",$K$1,IF($C170="B",$M$1,$O$1)))</f>
        <v/>
      </c>
      <c r="E170" s="12" t="n"/>
      <c r="F170" s="13">
        <f>IF(OR($A170="",$E170=""),"",$E170+$D170)</f>
        <v/>
      </c>
      <c r="G170" s="8">
        <f>IF($F170="","",IF($F170&lt;TODAY(),"OVERDUE","ON TRACK"))</f>
        <v/>
      </c>
      <c r="H170" s="8">
        <f>IF($A170="","",IF(COUNTIFS('Blind Count Entry'!$C:$C,$A170,'Blind Count Entry'!$B:$B,"&gt;="&amp;DATE(YEAR(TODAY()),MONTH(TODAY()),1),'Blind Count Entry'!$B:$B,"&lt;="&amp;EOMONTH(TODAY(),0))&gt;0,"YES","NO"))</f>
        <v/>
      </c>
    </row>
    <row r="171">
      <c r="A171" s="8">
        <f>IF('Master Inventory'!A169="","",'Master Inventory'!A169)</f>
        <v/>
      </c>
      <c r="B171" s="8">
        <f>IF($A171="","",INDEX('Master Inventory'!$B:$B,MATCH($A171,'Master Inventory'!$A:$A,0)))</f>
        <v/>
      </c>
      <c r="C171" s="8">
        <f>IF($A171="","",IFERROR(INDEX('ABC Analysis'!$F:$F,MATCH($A171,'ABC Analysis'!$A:$A,0)),""))</f>
        <v/>
      </c>
      <c r="D171" s="8">
        <f>IF($C171="","",IF($C171="A",$K$1,IF($C171="B",$M$1,$O$1)))</f>
        <v/>
      </c>
      <c r="E171" s="12" t="n"/>
      <c r="F171" s="13">
        <f>IF(OR($A171="",$E171=""),"",$E171+$D171)</f>
        <v/>
      </c>
      <c r="G171" s="8">
        <f>IF($F171="","",IF($F171&lt;TODAY(),"OVERDUE","ON TRACK"))</f>
        <v/>
      </c>
      <c r="H171" s="8">
        <f>IF($A171="","",IF(COUNTIFS('Blind Count Entry'!$C:$C,$A171,'Blind Count Entry'!$B:$B,"&gt;="&amp;DATE(YEAR(TODAY()),MONTH(TODAY()),1),'Blind Count Entry'!$B:$B,"&lt;="&amp;EOMONTH(TODAY(),0))&gt;0,"YES","NO"))</f>
        <v/>
      </c>
    </row>
    <row r="172">
      <c r="A172" s="8">
        <f>IF('Master Inventory'!A170="","",'Master Inventory'!A170)</f>
        <v/>
      </c>
      <c r="B172" s="8">
        <f>IF($A172="","",INDEX('Master Inventory'!$B:$B,MATCH($A172,'Master Inventory'!$A:$A,0)))</f>
        <v/>
      </c>
      <c r="C172" s="8">
        <f>IF($A172="","",IFERROR(INDEX('ABC Analysis'!$F:$F,MATCH($A172,'ABC Analysis'!$A:$A,0)),""))</f>
        <v/>
      </c>
      <c r="D172" s="8">
        <f>IF($C172="","",IF($C172="A",$K$1,IF($C172="B",$M$1,$O$1)))</f>
        <v/>
      </c>
      <c r="E172" s="12" t="n"/>
      <c r="F172" s="13">
        <f>IF(OR($A172="",$E172=""),"",$E172+$D172)</f>
        <v/>
      </c>
      <c r="G172" s="8">
        <f>IF($F172="","",IF($F172&lt;TODAY(),"OVERDUE","ON TRACK"))</f>
        <v/>
      </c>
      <c r="H172" s="8">
        <f>IF($A172="","",IF(COUNTIFS('Blind Count Entry'!$C:$C,$A172,'Blind Count Entry'!$B:$B,"&gt;="&amp;DATE(YEAR(TODAY()),MONTH(TODAY()),1),'Blind Count Entry'!$B:$B,"&lt;="&amp;EOMONTH(TODAY(),0))&gt;0,"YES","NO"))</f>
        <v/>
      </c>
    </row>
    <row r="173">
      <c r="A173" s="8">
        <f>IF('Master Inventory'!A171="","",'Master Inventory'!A171)</f>
        <v/>
      </c>
      <c r="B173" s="8">
        <f>IF($A173="","",INDEX('Master Inventory'!$B:$B,MATCH($A173,'Master Inventory'!$A:$A,0)))</f>
        <v/>
      </c>
      <c r="C173" s="8">
        <f>IF($A173="","",IFERROR(INDEX('ABC Analysis'!$F:$F,MATCH($A173,'ABC Analysis'!$A:$A,0)),""))</f>
        <v/>
      </c>
      <c r="D173" s="8">
        <f>IF($C173="","",IF($C173="A",$K$1,IF($C173="B",$M$1,$O$1)))</f>
        <v/>
      </c>
      <c r="E173" s="12" t="n"/>
      <c r="F173" s="13">
        <f>IF(OR($A173="",$E173=""),"",$E173+$D173)</f>
        <v/>
      </c>
      <c r="G173" s="8">
        <f>IF($F173="","",IF($F173&lt;TODAY(),"OVERDUE","ON TRACK"))</f>
        <v/>
      </c>
      <c r="H173" s="8">
        <f>IF($A173="","",IF(COUNTIFS('Blind Count Entry'!$C:$C,$A173,'Blind Count Entry'!$B:$B,"&gt;="&amp;DATE(YEAR(TODAY()),MONTH(TODAY()),1),'Blind Count Entry'!$B:$B,"&lt;="&amp;EOMONTH(TODAY(),0))&gt;0,"YES","NO"))</f>
        <v/>
      </c>
    </row>
    <row r="174">
      <c r="A174" s="8">
        <f>IF('Master Inventory'!A172="","",'Master Inventory'!A172)</f>
        <v/>
      </c>
      <c r="B174" s="8">
        <f>IF($A174="","",INDEX('Master Inventory'!$B:$B,MATCH($A174,'Master Inventory'!$A:$A,0)))</f>
        <v/>
      </c>
      <c r="C174" s="8">
        <f>IF($A174="","",IFERROR(INDEX('ABC Analysis'!$F:$F,MATCH($A174,'ABC Analysis'!$A:$A,0)),""))</f>
        <v/>
      </c>
      <c r="D174" s="8">
        <f>IF($C174="","",IF($C174="A",$K$1,IF($C174="B",$M$1,$O$1)))</f>
        <v/>
      </c>
      <c r="E174" s="12" t="n"/>
      <c r="F174" s="13">
        <f>IF(OR($A174="",$E174=""),"",$E174+$D174)</f>
        <v/>
      </c>
      <c r="G174" s="8">
        <f>IF($F174="","",IF($F174&lt;TODAY(),"OVERDUE","ON TRACK"))</f>
        <v/>
      </c>
      <c r="H174" s="8">
        <f>IF($A174="","",IF(COUNTIFS('Blind Count Entry'!$C:$C,$A174,'Blind Count Entry'!$B:$B,"&gt;="&amp;DATE(YEAR(TODAY()),MONTH(TODAY()),1),'Blind Count Entry'!$B:$B,"&lt;="&amp;EOMONTH(TODAY(),0))&gt;0,"YES","NO"))</f>
        <v/>
      </c>
    </row>
    <row r="175">
      <c r="A175" s="8">
        <f>IF('Master Inventory'!A173="","",'Master Inventory'!A173)</f>
        <v/>
      </c>
      <c r="B175" s="8">
        <f>IF($A175="","",INDEX('Master Inventory'!$B:$B,MATCH($A175,'Master Inventory'!$A:$A,0)))</f>
        <v/>
      </c>
      <c r="C175" s="8">
        <f>IF($A175="","",IFERROR(INDEX('ABC Analysis'!$F:$F,MATCH($A175,'ABC Analysis'!$A:$A,0)),""))</f>
        <v/>
      </c>
      <c r="D175" s="8">
        <f>IF($C175="","",IF($C175="A",$K$1,IF($C175="B",$M$1,$O$1)))</f>
        <v/>
      </c>
      <c r="E175" s="12" t="n"/>
      <c r="F175" s="13">
        <f>IF(OR($A175="",$E175=""),"",$E175+$D175)</f>
        <v/>
      </c>
      <c r="G175" s="8">
        <f>IF($F175="","",IF($F175&lt;TODAY(),"OVERDUE","ON TRACK"))</f>
        <v/>
      </c>
      <c r="H175" s="8">
        <f>IF($A175="","",IF(COUNTIFS('Blind Count Entry'!$C:$C,$A175,'Blind Count Entry'!$B:$B,"&gt;="&amp;DATE(YEAR(TODAY()),MONTH(TODAY()),1),'Blind Count Entry'!$B:$B,"&lt;="&amp;EOMONTH(TODAY(),0))&gt;0,"YES","NO"))</f>
        <v/>
      </c>
    </row>
    <row r="176">
      <c r="A176" s="8">
        <f>IF('Master Inventory'!A174="","",'Master Inventory'!A174)</f>
        <v/>
      </c>
      <c r="B176" s="8">
        <f>IF($A176="","",INDEX('Master Inventory'!$B:$B,MATCH($A176,'Master Inventory'!$A:$A,0)))</f>
        <v/>
      </c>
      <c r="C176" s="8">
        <f>IF($A176="","",IFERROR(INDEX('ABC Analysis'!$F:$F,MATCH($A176,'ABC Analysis'!$A:$A,0)),""))</f>
        <v/>
      </c>
      <c r="D176" s="8">
        <f>IF($C176="","",IF($C176="A",$K$1,IF($C176="B",$M$1,$O$1)))</f>
        <v/>
      </c>
      <c r="E176" s="12" t="n"/>
      <c r="F176" s="13">
        <f>IF(OR($A176="",$E176=""),"",$E176+$D176)</f>
        <v/>
      </c>
      <c r="G176" s="8">
        <f>IF($F176="","",IF($F176&lt;TODAY(),"OVERDUE","ON TRACK"))</f>
        <v/>
      </c>
      <c r="H176" s="8">
        <f>IF($A176="","",IF(COUNTIFS('Blind Count Entry'!$C:$C,$A176,'Blind Count Entry'!$B:$B,"&gt;="&amp;DATE(YEAR(TODAY()),MONTH(TODAY()),1),'Blind Count Entry'!$B:$B,"&lt;="&amp;EOMONTH(TODAY(),0))&gt;0,"YES","NO"))</f>
        <v/>
      </c>
    </row>
    <row r="177">
      <c r="A177" s="8">
        <f>IF('Master Inventory'!A175="","",'Master Inventory'!A175)</f>
        <v/>
      </c>
      <c r="B177" s="8">
        <f>IF($A177="","",INDEX('Master Inventory'!$B:$B,MATCH($A177,'Master Inventory'!$A:$A,0)))</f>
        <v/>
      </c>
      <c r="C177" s="8">
        <f>IF($A177="","",IFERROR(INDEX('ABC Analysis'!$F:$F,MATCH($A177,'ABC Analysis'!$A:$A,0)),""))</f>
        <v/>
      </c>
      <c r="D177" s="8">
        <f>IF($C177="","",IF($C177="A",$K$1,IF($C177="B",$M$1,$O$1)))</f>
        <v/>
      </c>
      <c r="E177" s="12" t="n"/>
      <c r="F177" s="13">
        <f>IF(OR($A177="",$E177=""),"",$E177+$D177)</f>
        <v/>
      </c>
      <c r="G177" s="8">
        <f>IF($F177="","",IF($F177&lt;TODAY(),"OVERDUE","ON TRACK"))</f>
        <v/>
      </c>
      <c r="H177" s="8">
        <f>IF($A177="","",IF(COUNTIFS('Blind Count Entry'!$C:$C,$A177,'Blind Count Entry'!$B:$B,"&gt;="&amp;DATE(YEAR(TODAY()),MONTH(TODAY()),1),'Blind Count Entry'!$B:$B,"&lt;="&amp;EOMONTH(TODAY(),0))&gt;0,"YES","NO"))</f>
        <v/>
      </c>
    </row>
    <row r="178">
      <c r="A178" s="8">
        <f>IF('Master Inventory'!A176="","",'Master Inventory'!A176)</f>
        <v/>
      </c>
      <c r="B178" s="8">
        <f>IF($A178="","",INDEX('Master Inventory'!$B:$B,MATCH($A178,'Master Inventory'!$A:$A,0)))</f>
        <v/>
      </c>
      <c r="C178" s="8">
        <f>IF($A178="","",IFERROR(INDEX('ABC Analysis'!$F:$F,MATCH($A178,'ABC Analysis'!$A:$A,0)),""))</f>
        <v/>
      </c>
      <c r="D178" s="8">
        <f>IF($C178="","",IF($C178="A",$K$1,IF($C178="B",$M$1,$O$1)))</f>
        <v/>
      </c>
      <c r="E178" s="12" t="n"/>
      <c r="F178" s="13">
        <f>IF(OR($A178="",$E178=""),"",$E178+$D178)</f>
        <v/>
      </c>
      <c r="G178" s="8">
        <f>IF($F178="","",IF($F178&lt;TODAY(),"OVERDUE","ON TRACK"))</f>
        <v/>
      </c>
      <c r="H178" s="8">
        <f>IF($A178="","",IF(COUNTIFS('Blind Count Entry'!$C:$C,$A178,'Blind Count Entry'!$B:$B,"&gt;="&amp;DATE(YEAR(TODAY()),MONTH(TODAY()),1),'Blind Count Entry'!$B:$B,"&lt;="&amp;EOMONTH(TODAY(),0))&gt;0,"YES","NO"))</f>
        <v/>
      </c>
    </row>
    <row r="179">
      <c r="A179" s="8">
        <f>IF('Master Inventory'!A177="","",'Master Inventory'!A177)</f>
        <v/>
      </c>
      <c r="B179" s="8">
        <f>IF($A179="","",INDEX('Master Inventory'!$B:$B,MATCH($A179,'Master Inventory'!$A:$A,0)))</f>
        <v/>
      </c>
      <c r="C179" s="8">
        <f>IF($A179="","",IFERROR(INDEX('ABC Analysis'!$F:$F,MATCH($A179,'ABC Analysis'!$A:$A,0)),""))</f>
        <v/>
      </c>
      <c r="D179" s="8">
        <f>IF($C179="","",IF($C179="A",$K$1,IF($C179="B",$M$1,$O$1)))</f>
        <v/>
      </c>
      <c r="E179" s="12" t="n"/>
      <c r="F179" s="13">
        <f>IF(OR($A179="",$E179=""),"",$E179+$D179)</f>
        <v/>
      </c>
      <c r="G179" s="8">
        <f>IF($F179="","",IF($F179&lt;TODAY(),"OVERDUE","ON TRACK"))</f>
        <v/>
      </c>
      <c r="H179" s="8">
        <f>IF($A179="","",IF(COUNTIFS('Blind Count Entry'!$C:$C,$A179,'Blind Count Entry'!$B:$B,"&gt;="&amp;DATE(YEAR(TODAY()),MONTH(TODAY()),1),'Blind Count Entry'!$B:$B,"&lt;="&amp;EOMONTH(TODAY(),0))&gt;0,"YES","NO"))</f>
        <v/>
      </c>
    </row>
    <row r="180">
      <c r="A180" s="8">
        <f>IF('Master Inventory'!A178="","",'Master Inventory'!A178)</f>
        <v/>
      </c>
      <c r="B180" s="8">
        <f>IF($A180="","",INDEX('Master Inventory'!$B:$B,MATCH($A180,'Master Inventory'!$A:$A,0)))</f>
        <v/>
      </c>
      <c r="C180" s="8">
        <f>IF($A180="","",IFERROR(INDEX('ABC Analysis'!$F:$F,MATCH($A180,'ABC Analysis'!$A:$A,0)),""))</f>
        <v/>
      </c>
      <c r="D180" s="8">
        <f>IF($C180="","",IF($C180="A",$K$1,IF($C180="B",$M$1,$O$1)))</f>
        <v/>
      </c>
      <c r="E180" s="12" t="n"/>
      <c r="F180" s="13">
        <f>IF(OR($A180="",$E180=""),"",$E180+$D180)</f>
        <v/>
      </c>
      <c r="G180" s="8">
        <f>IF($F180="","",IF($F180&lt;TODAY(),"OVERDUE","ON TRACK"))</f>
        <v/>
      </c>
      <c r="H180" s="8">
        <f>IF($A180="","",IF(COUNTIFS('Blind Count Entry'!$C:$C,$A180,'Blind Count Entry'!$B:$B,"&gt;="&amp;DATE(YEAR(TODAY()),MONTH(TODAY()),1),'Blind Count Entry'!$B:$B,"&lt;="&amp;EOMONTH(TODAY(),0))&gt;0,"YES","NO"))</f>
        <v/>
      </c>
    </row>
    <row r="181">
      <c r="A181" s="8">
        <f>IF('Master Inventory'!A179="","",'Master Inventory'!A179)</f>
        <v/>
      </c>
      <c r="B181" s="8">
        <f>IF($A181="","",INDEX('Master Inventory'!$B:$B,MATCH($A181,'Master Inventory'!$A:$A,0)))</f>
        <v/>
      </c>
      <c r="C181" s="8">
        <f>IF($A181="","",IFERROR(INDEX('ABC Analysis'!$F:$F,MATCH($A181,'ABC Analysis'!$A:$A,0)),""))</f>
        <v/>
      </c>
      <c r="D181" s="8">
        <f>IF($C181="","",IF($C181="A",$K$1,IF($C181="B",$M$1,$O$1)))</f>
        <v/>
      </c>
      <c r="E181" s="12" t="n"/>
      <c r="F181" s="13">
        <f>IF(OR($A181="",$E181=""),"",$E181+$D181)</f>
        <v/>
      </c>
      <c r="G181" s="8">
        <f>IF($F181="","",IF($F181&lt;TODAY(),"OVERDUE","ON TRACK"))</f>
        <v/>
      </c>
      <c r="H181" s="8">
        <f>IF($A181="","",IF(COUNTIFS('Blind Count Entry'!$C:$C,$A181,'Blind Count Entry'!$B:$B,"&gt;="&amp;DATE(YEAR(TODAY()),MONTH(TODAY()),1),'Blind Count Entry'!$B:$B,"&lt;="&amp;EOMONTH(TODAY(),0))&gt;0,"YES","NO"))</f>
        <v/>
      </c>
    </row>
    <row r="182">
      <c r="A182" s="8">
        <f>IF('Master Inventory'!A180="","",'Master Inventory'!A180)</f>
        <v/>
      </c>
      <c r="B182" s="8">
        <f>IF($A182="","",INDEX('Master Inventory'!$B:$B,MATCH($A182,'Master Inventory'!$A:$A,0)))</f>
        <v/>
      </c>
      <c r="C182" s="8">
        <f>IF($A182="","",IFERROR(INDEX('ABC Analysis'!$F:$F,MATCH($A182,'ABC Analysis'!$A:$A,0)),""))</f>
        <v/>
      </c>
      <c r="D182" s="8">
        <f>IF($C182="","",IF($C182="A",$K$1,IF($C182="B",$M$1,$O$1)))</f>
        <v/>
      </c>
      <c r="E182" s="12" t="n"/>
      <c r="F182" s="13">
        <f>IF(OR($A182="",$E182=""),"",$E182+$D182)</f>
        <v/>
      </c>
      <c r="G182" s="8">
        <f>IF($F182="","",IF($F182&lt;TODAY(),"OVERDUE","ON TRACK"))</f>
        <v/>
      </c>
      <c r="H182" s="8">
        <f>IF($A182="","",IF(COUNTIFS('Blind Count Entry'!$C:$C,$A182,'Blind Count Entry'!$B:$B,"&gt;="&amp;DATE(YEAR(TODAY()),MONTH(TODAY()),1),'Blind Count Entry'!$B:$B,"&lt;="&amp;EOMONTH(TODAY(),0))&gt;0,"YES","NO"))</f>
        <v/>
      </c>
    </row>
    <row r="183">
      <c r="A183" s="8">
        <f>IF('Master Inventory'!A181="","",'Master Inventory'!A181)</f>
        <v/>
      </c>
      <c r="B183" s="8">
        <f>IF($A183="","",INDEX('Master Inventory'!$B:$B,MATCH($A183,'Master Inventory'!$A:$A,0)))</f>
        <v/>
      </c>
      <c r="C183" s="8">
        <f>IF($A183="","",IFERROR(INDEX('ABC Analysis'!$F:$F,MATCH($A183,'ABC Analysis'!$A:$A,0)),""))</f>
        <v/>
      </c>
      <c r="D183" s="8">
        <f>IF($C183="","",IF($C183="A",$K$1,IF($C183="B",$M$1,$O$1)))</f>
        <v/>
      </c>
      <c r="E183" s="12" t="n"/>
      <c r="F183" s="13">
        <f>IF(OR($A183="",$E183=""),"",$E183+$D183)</f>
        <v/>
      </c>
      <c r="G183" s="8">
        <f>IF($F183="","",IF($F183&lt;TODAY(),"OVERDUE","ON TRACK"))</f>
        <v/>
      </c>
      <c r="H183" s="8">
        <f>IF($A183="","",IF(COUNTIFS('Blind Count Entry'!$C:$C,$A183,'Blind Count Entry'!$B:$B,"&gt;="&amp;DATE(YEAR(TODAY()),MONTH(TODAY()),1),'Blind Count Entry'!$B:$B,"&lt;="&amp;EOMONTH(TODAY(),0))&gt;0,"YES","NO"))</f>
        <v/>
      </c>
    </row>
    <row r="184">
      <c r="A184" s="8">
        <f>IF('Master Inventory'!A182="","",'Master Inventory'!A182)</f>
        <v/>
      </c>
      <c r="B184" s="8">
        <f>IF($A184="","",INDEX('Master Inventory'!$B:$B,MATCH($A184,'Master Inventory'!$A:$A,0)))</f>
        <v/>
      </c>
      <c r="C184" s="8">
        <f>IF($A184="","",IFERROR(INDEX('ABC Analysis'!$F:$F,MATCH($A184,'ABC Analysis'!$A:$A,0)),""))</f>
        <v/>
      </c>
      <c r="D184" s="8">
        <f>IF($C184="","",IF($C184="A",$K$1,IF($C184="B",$M$1,$O$1)))</f>
        <v/>
      </c>
      <c r="E184" s="12" t="n"/>
      <c r="F184" s="13">
        <f>IF(OR($A184="",$E184=""),"",$E184+$D184)</f>
        <v/>
      </c>
      <c r="G184" s="8">
        <f>IF($F184="","",IF($F184&lt;TODAY(),"OVERDUE","ON TRACK"))</f>
        <v/>
      </c>
      <c r="H184" s="8">
        <f>IF($A184="","",IF(COUNTIFS('Blind Count Entry'!$C:$C,$A184,'Blind Count Entry'!$B:$B,"&gt;="&amp;DATE(YEAR(TODAY()),MONTH(TODAY()),1),'Blind Count Entry'!$B:$B,"&lt;="&amp;EOMONTH(TODAY(),0))&gt;0,"YES","NO"))</f>
        <v/>
      </c>
    </row>
    <row r="185">
      <c r="A185" s="8">
        <f>IF('Master Inventory'!A183="","",'Master Inventory'!A183)</f>
        <v/>
      </c>
      <c r="B185" s="8">
        <f>IF($A185="","",INDEX('Master Inventory'!$B:$B,MATCH($A185,'Master Inventory'!$A:$A,0)))</f>
        <v/>
      </c>
      <c r="C185" s="8">
        <f>IF($A185="","",IFERROR(INDEX('ABC Analysis'!$F:$F,MATCH($A185,'ABC Analysis'!$A:$A,0)),""))</f>
        <v/>
      </c>
      <c r="D185" s="8">
        <f>IF($C185="","",IF($C185="A",$K$1,IF($C185="B",$M$1,$O$1)))</f>
        <v/>
      </c>
      <c r="E185" s="12" t="n"/>
      <c r="F185" s="13">
        <f>IF(OR($A185="",$E185=""),"",$E185+$D185)</f>
        <v/>
      </c>
      <c r="G185" s="8">
        <f>IF($F185="","",IF($F185&lt;TODAY(),"OVERDUE","ON TRACK"))</f>
        <v/>
      </c>
      <c r="H185" s="8">
        <f>IF($A185="","",IF(COUNTIFS('Blind Count Entry'!$C:$C,$A185,'Blind Count Entry'!$B:$B,"&gt;="&amp;DATE(YEAR(TODAY()),MONTH(TODAY()),1),'Blind Count Entry'!$B:$B,"&lt;="&amp;EOMONTH(TODAY(),0))&gt;0,"YES","NO"))</f>
        <v/>
      </c>
    </row>
    <row r="186">
      <c r="A186" s="8">
        <f>IF('Master Inventory'!A184="","",'Master Inventory'!A184)</f>
        <v/>
      </c>
      <c r="B186" s="8">
        <f>IF($A186="","",INDEX('Master Inventory'!$B:$B,MATCH($A186,'Master Inventory'!$A:$A,0)))</f>
        <v/>
      </c>
      <c r="C186" s="8">
        <f>IF($A186="","",IFERROR(INDEX('ABC Analysis'!$F:$F,MATCH($A186,'ABC Analysis'!$A:$A,0)),""))</f>
        <v/>
      </c>
      <c r="D186" s="8">
        <f>IF($C186="","",IF($C186="A",$K$1,IF($C186="B",$M$1,$O$1)))</f>
        <v/>
      </c>
      <c r="E186" s="12" t="n"/>
      <c r="F186" s="13">
        <f>IF(OR($A186="",$E186=""),"",$E186+$D186)</f>
        <v/>
      </c>
      <c r="G186" s="8">
        <f>IF($F186="","",IF($F186&lt;TODAY(),"OVERDUE","ON TRACK"))</f>
        <v/>
      </c>
      <c r="H186" s="8">
        <f>IF($A186="","",IF(COUNTIFS('Blind Count Entry'!$C:$C,$A186,'Blind Count Entry'!$B:$B,"&gt;="&amp;DATE(YEAR(TODAY()),MONTH(TODAY()),1),'Blind Count Entry'!$B:$B,"&lt;="&amp;EOMONTH(TODAY(),0))&gt;0,"YES","NO"))</f>
        <v/>
      </c>
    </row>
    <row r="187">
      <c r="A187" s="8">
        <f>IF('Master Inventory'!A185="","",'Master Inventory'!A185)</f>
        <v/>
      </c>
      <c r="B187" s="8">
        <f>IF($A187="","",INDEX('Master Inventory'!$B:$B,MATCH($A187,'Master Inventory'!$A:$A,0)))</f>
        <v/>
      </c>
      <c r="C187" s="8">
        <f>IF($A187="","",IFERROR(INDEX('ABC Analysis'!$F:$F,MATCH($A187,'ABC Analysis'!$A:$A,0)),""))</f>
        <v/>
      </c>
      <c r="D187" s="8">
        <f>IF($C187="","",IF($C187="A",$K$1,IF($C187="B",$M$1,$O$1)))</f>
        <v/>
      </c>
      <c r="E187" s="12" t="n"/>
      <c r="F187" s="13">
        <f>IF(OR($A187="",$E187=""),"",$E187+$D187)</f>
        <v/>
      </c>
      <c r="G187" s="8">
        <f>IF($F187="","",IF($F187&lt;TODAY(),"OVERDUE","ON TRACK"))</f>
        <v/>
      </c>
      <c r="H187" s="8">
        <f>IF($A187="","",IF(COUNTIFS('Blind Count Entry'!$C:$C,$A187,'Blind Count Entry'!$B:$B,"&gt;="&amp;DATE(YEAR(TODAY()),MONTH(TODAY()),1),'Blind Count Entry'!$B:$B,"&lt;="&amp;EOMONTH(TODAY(),0))&gt;0,"YES","NO"))</f>
        <v/>
      </c>
    </row>
    <row r="188">
      <c r="A188" s="8">
        <f>IF('Master Inventory'!A186="","",'Master Inventory'!A186)</f>
        <v/>
      </c>
      <c r="B188" s="8">
        <f>IF($A188="","",INDEX('Master Inventory'!$B:$B,MATCH($A188,'Master Inventory'!$A:$A,0)))</f>
        <v/>
      </c>
      <c r="C188" s="8">
        <f>IF($A188="","",IFERROR(INDEX('ABC Analysis'!$F:$F,MATCH($A188,'ABC Analysis'!$A:$A,0)),""))</f>
        <v/>
      </c>
      <c r="D188" s="8">
        <f>IF($C188="","",IF($C188="A",$K$1,IF($C188="B",$M$1,$O$1)))</f>
        <v/>
      </c>
      <c r="E188" s="12" t="n"/>
      <c r="F188" s="13">
        <f>IF(OR($A188="",$E188=""),"",$E188+$D188)</f>
        <v/>
      </c>
      <c r="G188" s="8">
        <f>IF($F188="","",IF($F188&lt;TODAY(),"OVERDUE","ON TRACK"))</f>
        <v/>
      </c>
      <c r="H188" s="8">
        <f>IF($A188="","",IF(COUNTIFS('Blind Count Entry'!$C:$C,$A188,'Blind Count Entry'!$B:$B,"&gt;="&amp;DATE(YEAR(TODAY()),MONTH(TODAY()),1),'Blind Count Entry'!$B:$B,"&lt;="&amp;EOMONTH(TODAY(),0))&gt;0,"YES","NO"))</f>
        <v/>
      </c>
    </row>
    <row r="189">
      <c r="A189" s="8">
        <f>IF('Master Inventory'!A187="","",'Master Inventory'!A187)</f>
        <v/>
      </c>
      <c r="B189" s="8">
        <f>IF($A189="","",INDEX('Master Inventory'!$B:$B,MATCH($A189,'Master Inventory'!$A:$A,0)))</f>
        <v/>
      </c>
      <c r="C189" s="8">
        <f>IF($A189="","",IFERROR(INDEX('ABC Analysis'!$F:$F,MATCH($A189,'ABC Analysis'!$A:$A,0)),""))</f>
        <v/>
      </c>
      <c r="D189" s="8">
        <f>IF($C189="","",IF($C189="A",$K$1,IF($C189="B",$M$1,$O$1)))</f>
        <v/>
      </c>
      <c r="E189" s="12" t="n"/>
      <c r="F189" s="13">
        <f>IF(OR($A189="",$E189=""),"",$E189+$D189)</f>
        <v/>
      </c>
      <c r="G189" s="8">
        <f>IF($F189="","",IF($F189&lt;TODAY(),"OVERDUE","ON TRACK"))</f>
        <v/>
      </c>
      <c r="H189" s="8">
        <f>IF($A189="","",IF(COUNTIFS('Blind Count Entry'!$C:$C,$A189,'Blind Count Entry'!$B:$B,"&gt;="&amp;DATE(YEAR(TODAY()),MONTH(TODAY()),1),'Blind Count Entry'!$B:$B,"&lt;="&amp;EOMONTH(TODAY(),0))&gt;0,"YES","NO"))</f>
        <v/>
      </c>
    </row>
    <row r="190">
      <c r="A190" s="8">
        <f>IF('Master Inventory'!A188="","",'Master Inventory'!A188)</f>
        <v/>
      </c>
      <c r="B190" s="8">
        <f>IF($A190="","",INDEX('Master Inventory'!$B:$B,MATCH($A190,'Master Inventory'!$A:$A,0)))</f>
        <v/>
      </c>
      <c r="C190" s="8">
        <f>IF($A190="","",IFERROR(INDEX('ABC Analysis'!$F:$F,MATCH($A190,'ABC Analysis'!$A:$A,0)),""))</f>
        <v/>
      </c>
      <c r="D190" s="8">
        <f>IF($C190="","",IF($C190="A",$K$1,IF($C190="B",$M$1,$O$1)))</f>
        <v/>
      </c>
      <c r="E190" s="12" t="n"/>
      <c r="F190" s="13">
        <f>IF(OR($A190="",$E190=""),"",$E190+$D190)</f>
        <v/>
      </c>
      <c r="G190" s="8">
        <f>IF($F190="","",IF($F190&lt;TODAY(),"OVERDUE","ON TRACK"))</f>
        <v/>
      </c>
      <c r="H190" s="8">
        <f>IF($A190="","",IF(COUNTIFS('Blind Count Entry'!$C:$C,$A190,'Blind Count Entry'!$B:$B,"&gt;="&amp;DATE(YEAR(TODAY()),MONTH(TODAY()),1),'Blind Count Entry'!$B:$B,"&lt;="&amp;EOMONTH(TODAY(),0))&gt;0,"YES","NO"))</f>
        <v/>
      </c>
    </row>
    <row r="191">
      <c r="A191" s="8">
        <f>IF('Master Inventory'!A189="","",'Master Inventory'!A189)</f>
        <v/>
      </c>
      <c r="B191" s="8">
        <f>IF($A191="","",INDEX('Master Inventory'!$B:$B,MATCH($A191,'Master Inventory'!$A:$A,0)))</f>
        <v/>
      </c>
      <c r="C191" s="8">
        <f>IF($A191="","",IFERROR(INDEX('ABC Analysis'!$F:$F,MATCH($A191,'ABC Analysis'!$A:$A,0)),""))</f>
        <v/>
      </c>
      <c r="D191" s="8">
        <f>IF($C191="","",IF($C191="A",$K$1,IF($C191="B",$M$1,$O$1)))</f>
        <v/>
      </c>
      <c r="E191" s="12" t="n"/>
      <c r="F191" s="13">
        <f>IF(OR($A191="",$E191=""),"",$E191+$D191)</f>
        <v/>
      </c>
      <c r="G191" s="8">
        <f>IF($F191="","",IF($F191&lt;TODAY(),"OVERDUE","ON TRACK"))</f>
        <v/>
      </c>
      <c r="H191" s="8">
        <f>IF($A191="","",IF(COUNTIFS('Blind Count Entry'!$C:$C,$A191,'Blind Count Entry'!$B:$B,"&gt;="&amp;DATE(YEAR(TODAY()),MONTH(TODAY()),1),'Blind Count Entry'!$B:$B,"&lt;="&amp;EOMONTH(TODAY(),0))&gt;0,"YES","NO"))</f>
        <v/>
      </c>
    </row>
    <row r="192">
      <c r="A192" s="8">
        <f>IF('Master Inventory'!A190="","",'Master Inventory'!A190)</f>
        <v/>
      </c>
      <c r="B192" s="8">
        <f>IF($A192="","",INDEX('Master Inventory'!$B:$B,MATCH($A192,'Master Inventory'!$A:$A,0)))</f>
        <v/>
      </c>
      <c r="C192" s="8">
        <f>IF($A192="","",IFERROR(INDEX('ABC Analysis'!$F:$F,MATCH($A192,'ABC Analysis'!$A:$A,0)),""))</f>
        <v/>
      </c>
      <c r="D192" s="8">
        <f>IF($C192="","",IF($C192="A",$K$1,IF($C192="B",$M$1,$O$1)))</f>
        <v/>
      </c>
      <c r="E192" s="12" t="n"/>
      <c r="F192" s="13">
        <f>IF(OR($A192="",$E192=""),"",$E192+$D192)</f>
        <v/>
      </c>
      <c r="G192" s="8">
        <f>IF($F192="","",IF($F192&lt;TODAY(),"OVERDUE","ON TRACK"))</f>
        <v/>
      </c>
      <c r="H192" s="8">
        <f>IF($A192="","",IF(COUNTIFS('Blind Count Entry'!$C:$C,$A192,'Blind Count Entry'!$B:$B,"&gt;="&amp;DATE(YEAR(TODAY()),MONTH(TODAY()),1),'Blind Count Entry'!$B:$B,"&lt;="&amp;EOMONTH(TODAY(),0))&gt;0,"YES","NO"))</f>
        <v/>
      </c>
    </row>
    <row r="193">
      <c r="A193" s="8">
        <f>IF('Master Inventory'!A191="","",'Master Inventory'!A191)</f>
        <v/>
      </c>
      <c r="B193" s="8">
        <f>IF($A193="","",INDEX('Master Inventory'!$B:$B,MATCH($A193,'Master Inventory'!$A:$A,0)))</f>
        <v/>
      </c>
      <c r="C193" s="8">
        <f>IF($A193="","",IFERROR(INDEX('ABC Analysis'!$F:$F,MATCH($A193,'ABC Analysis'!$A:$A,0)),""))</f>
        <v/>
      </c>
      <c r="D193" s="8">
        <f>IF($C193="","",IF($C193="A",$K$1,IF($C193="B",$M$1,$O$1)))</f>
        <v/>
      </c>
      <c r="E193" s="12" t="n"/>
      <c r="F193" s="13">
        <f>IF(OR($A193="",$E193=""),"",$E193+$D193)</f>
        <v/>
      </c>
      <c r="G193" s="8">
        <f>IF($F193="","",IF($F193&lt;TODAY(),"OVERDUE","ON TRACK"))</f>
        <v/>
      </c>
      <c r="H193" s="8">
        <f>IF($A193="","",IF(COUNTIFS('Blind Count Entry'!$C:$C,$A193,'Blind Count Entry'!$B:$B,"&gt;="&amp;DATE(YEAR(TODAY()),MONTH(TODAY()),1),'Blind Count Entry'!$B:$B,"&lt;="&amp;EOMONTH(TODAY(),0))&gt;0,"YES","NO"))</f>
        <v/>
      </c>
    </row>
    <row r="194">
      <c r="A194" s="8">
        <f>IF('Master Inventory'!A192="","",'Master Inventory'!A192)</f>
        <v/>
      </c>
      <c r="B194" s="8">
        <f>IF($A194="","",INDEX('Master Inventory'!$B:$B,MATCH($A194,'Master Inventory'!$A:$A,0)))</f>
        <v/>
      </c>
      <c r="C194" s="8">
        <f>IF($A194="","",IFERROR(INDEX('ABC Analysis'!$F:$F,MATCH($A194,'ABC Analysis'!$A:$A,0)),""))</f>
        <v/>
      </c>
      <c r="D194" s="8">
        <f>IF($C194="","",IF($C194="A",$K$1,IF($C194="B",$M$1,$O$1)))</f>
        <v/>
      </c>
      <c r="E194" s="12" t="n"/>
      <c r="F194" s="13">
        <f>IF(OR($A194="",$E194=""),"",$E194+$D194)</f>
        <v/>
      </c>
      <c r="G194" s="8">
        <f>IF($F194="","",IF($F194&lt;TODAY(),"OVERDUE","ON TRACK"))</f>
        <v/>
      </c>
      <c r="H194" s="8">
        <f>IF($A194="","",IF(COUNTIFS('Blind Count Entry'!$C:$C,$A194,'Blind Count Entry'!$B:$B,"&gt;="&amp;DATE(YEAR(TODAY()),MONTH(TODAY()),1),'Blind Count Entry'!$B:$B,"&lt;="&amp;EOMONTH(TODAY(),0))&gt;0,"YES","NO"))</f>
        <v/>
      </c>
    </row>
    <row r="195">
      <c r="A195" s="8">
        <f>IF('Master Inventory'!A193="","",'Master Inventory'!A193)</f>
        <v/>
      </c>
      <c r="B195" s="8">
        <f>IF($A195="","",INDEX('Master Inventory'!$B:$B,MATCH($A195,'Master Inventory'!$A:$A,0)))</f>
        <v/>
      </c>
      <c r="C195" s="8">
        <f>IF($A195="","",IFERROR(INDEX('ABC Analysis'!$F:$F,MATCH($A195,'ABC Analysis'!$A:$A,0)),""))</f>
        <v/>
      </c>
      <c r="D195" s="8">
        <f>IF($C195="","",IF($C195="A",$K$1,IF($C195="B",$M$1,$O$1)))</f>
        <v/>
      </c>
      <c r="E195" s="12" t="n"/>
      <c r="F195" s="13">
        <f>IF(OR($A195="",$E195=""),"",$E195+$D195)</f>
        <v/>
      </c>
      <c r="G195" s="8">
        <f>IF($F195="","",IF($F195&lt;TODAY(),"OVERDUE","ON TRACK"))</f>
        <v/>
      </c>
      <c r="H195" s="8">
        <f>IF($A195="","",IF(COUNTIFS('Blind Count Entry'!$C:$C,$A195,'Blind Count Entry'!$B:$B,"&gt;="&amp;DATE(YEAR(TODAY()),MONTH(TODAY()),1),'Blind Count Entry'!$B:$B,"&lt;="&amp;EOMONTH(TODAY(),0))&gt;0,"YES","NO"))</f>
        <v/>
      </c>
    </row>
    <row r="196">
      <c r="A196" s="8">
        <f>IF('Master Inventory'!A194="","",'Master Inventory'!A194)</f>
        <v/>
      </c>
      <c r="B196" s="8">
        <f>IF($A196="","",INDEX('Master Inventory'!$B:$B,MATCH($A196,'Master Inventory'!$A:$A,0)))</f>
        <v/>
      </c>
      <c r="C196" s="8">
        <f>IF($A196="","",IFERROR(INDEX('ABC Analysis'!$F:$F,MATCH($A196,'ABC Analysis'!$A:$A,0)),""))</f>
        <v/>
      </c>
      <c r="D196" s="8">
        <f>IF($C196="","",IF($C196="A",$K$1,IF($C196="B",$M$1,$O$1)))</f>
        <v/>
      </c>
      <c r="E196" s="12" t="n"/>
      <c r="F196" s="13">
        <f>IF(OR($A196="",$E196=""),"",$E196+$D196)</f>
        <v/>
      </c>
      <c r="G196" s="8">
        <f>IF($F196="","",IF($F196&lt;TODAY(),"OVERDUE","ON TRACK"))</f>
        <v/>
      </c>
      <c r="H196" s="8">
        <f>IF($A196="","",IF(COUNTIFS('Blind Count Entry'!$C:$C,$A196,'Blind Count Entry'!$B:$B,"&gt;="&amp;DATE(YEAR(TODAY()),MONTH(TODAY()),1),'Blind Count Entry'!$B:$B,"&lt;="&amp;EOMONTH(TODAY(),0))&gt;0,"YES","NO"))</f>
        <v/>
      </c>
    </row>
    <row r="197">
      <c r="A197" s="8">
        <f>IF('Master Inventory'!A195="","",'Master Inventory'!A195)</f>
        <v/>
      </c>
      <c r="B197" s="8">
        <f>IF($A197="","",INDEX('Master Inventory'!$B:$B,MATCH($A197,'Master Inventory'!$A:$A,0)))</f>
        <v/>
      </c>
      <c r="C197" s="8">
        <f>IF($A197="","",IFERROR(INDEX('ABC Analysis'!$F:$F,MATCH($A197,'ABC Analysis'!$A:$A,0)),""))</f>
        <v/>
      </c>
      <c r="D197" s="8">
        <f>IF($C197="","",IF($C197="A",$K$1,IF($C197="B",$M$1,$O$1)))</f>
        <v/>
      </c>
      <c r="E197" s="12" t="n"/>
      <c r="F197" s="13">
        <f>IF(OR($A197="",$E197=""),"",$E197+$D197)</f>
        <v/>
      </c>
      <c r="G197" s="8">
        <f>IF($F197="","",IF($F197&lt;TODAY(),"OVERDUE","ON TRACK"))</f>
        <v/>
      </c>
      <c r="H197" s="8">
        <f>IF($A197="","",IF(COUNTIFS('Blind Count Entry'!$C:$C,$A197,'Blind Count Entry'!$B:$B,"&gt;="&amp;DATE(YEAR(TODAY()),MONTH(TODAY()),1),'Blind Count Entry'!$B:$B,"&lt;="&amp;EOMONTH(TODAY(),0))&gt;0,"YES","NO"))</f>
        <v/>
      </c>
    </row>
    <row r="198">
      <c r="A198" s="8">
        <f>IF('Master Inventory'!A196="","",'Master Inventory'!A196)</f>
        <v/>
      </c>
      <c r="B198" s="8">
        <f>IF($A198="","",INDEX('Master Inventory'!$B:$B,MATCH($A198,'Master Inventory'!$A:$A,0)))</f>
        <v/>
      </c>
      <c r="C198" s="8">
        <f>IF($A198="","",IFERROR(INDEX('ABC Analysis'!$F:$F,MATCH($A198,'ABC Analysis'!$A:$A,0)),""))</f>
        <v/>
      </c>
      <c r="D198" s="8">
        <f>IF($C198="","",IF($C198="A",$K$1,IF($C198="B",$M$1,$O$1)))</f>
        <v/>
      </c>
      <c r="E198" s="12" t="n"/>
      <c r="F198" s="13">
        <f>IF(OR($A198="",$E198=""),"",$E198+$D198)</f>
        <v/>
      </c>
      <c r="G198" s="8">
        <f>IF($F198="","",IF($F198&lt;TODAY(),"OVERDUE","ON TRACK"))</f>
        <v/>
      </c>
      <c r="H198" s="8">
        <f>IF($A198="","",IF(COUNTIFS('Blind Count Entry'!$C:$C,$A198,'Blind Count Entry'!$B:$B,"&gt;="&amp;DATE(YEAR(TODAY()),MONTH(TODAY()),1),'Blind Count Entry'!$B:$B,"&lt;="&amp;EOMONTH(TODAY(),0))&gt;0,"YES","NO"))</f>
        <v/>
      </c>
    </row>
    <row r="199">
      <c r="A199" s="8">
        <f>IF('Master Inventory'!A197="","",'Master Inventory'!A197)</f>
        <v/>
      </c>
      <c r="B199" s="8">
        <f>IF($A199="","",INDEX('Master Inventory'!$B:$B,MATCH($A199,'Master Inventory'!$A:$A,0)))</f>
        <v/>
      </c>
      <c r="C199" s="8">
        <f>IF($A199="","",IFERROR(INDEX('ABC Analysis'!$F:$F,MATCH($A199,'ABC Analysis'!$A:$A,0)),""))</f>
        <v/>
      </c>
      <c r="D199" s="8">
        <f>IF($C199="","",IF($C199="A",$K$1,IF($C199="B",$M$1,$O$1)))</f>
        <v/>
      </c>
      <c r="E199" s="12" t="n"/>
      <c r="F199" s="13">
        <f>IF(OR($A199="",$E199=""),"",$E199+$D199)</f>
        <v/>
      </c>
      <c r="G199" s="8">
        <f>IF($F199="","",IF($F199&lt;TODAY(),"OVERDUE","ON TRACK"))</f>
        <v/>
      </c>
      <c r="H199" s="8">
        <f>IF($A199="","",IF(COUNTIFS('Blind Count Entry'!$C:$C,$A199,'Blind Count Entry'!$B:$B,"&gt;="&amp;DATE(YEAR(TODAY()),MONTH(TODAY()),1),'Blind Count Entry'!$B:$B,"&lt;="&amp;EOMONTH(TODAY(),0))&gt;0,"YES","NO"))</f>
        <v/>
      </c>
    </row>
    <row r="200">
      <c r="A200" s="8">
        <f>IF('Master Inventory'!A198="","",'Master Inventory'!A198)</f>
        <v/>
      </c>
      <c r="B200" s="8">
        <f>IF($A200="","",INDEX('Master Inventory'!$B:$B,MATCH($A200,'Master Inventory'!$A:$A,0)))</f>
        <v/>
      </c>
      <c r="C200" s="8">
        <f>IF($A200="","",IFERROR(INDEX('ABC Analysis'!$F:$F,MATCH($A200,'ABC Analysis'!$A:$A,0)),""))</f>
        <v/>
      </c>
      <c r="D200" s="8">
        <f>IF($C200="","",IF($C200="A",$K$1,IF($C200="B",$M$1,$O$1)))</f>
        <v/>
      </c>
      <c r="E200" s="12" t="n"/>
      <c r="F200" s="13">
        <f>IF(OR($A200="",$E200=""),"",$E200+$D200)</f>
        <v/>
      </c>
      <c r="G200" s="8">
        <f>IF($F200="","",IF($F200&lt;TODAY(),"OVERDUE","ON TRACK"))</f>
        <v/>
      </c>
      <c r="H200" s="8">
        <f>IF($A200="","",IF(COUNTIFS('Blind Count Entry'!$C:$C,$A200,'Blind Count Entry'!$B:$B,"&gt;="&amp;DATE(YEAR(TODAY()),MONTH(TODAY()),1),'Blind Count Entry'!$B:$B,"&lt;="&amp;EOMONTH(TODAY(),0))&gt;0,"YES","NO"))</f>
        <v/>
      </c>
    </row>
    <row r="201">
      <c r="A201" s="8">
        <f>IF('Master Inventory'!A199="","",'Master Inventory'!A199)</f>
        <v/>
      </c>
      <c r="B201" s="8">
        <f>IF($A201="","",INDEX('Master Inventory'!$B:$B,MATCH($A201,'Master Inventory'!$A:$A,0)))</f>
        <v/>
      </c>
      <c r="C201" s="8">
        <f>IF($A201="","",IFERROR(INDEX('ABC Analysis'!$F:$F,MATCH($A201,'ABC Analysis'!$A:$A,0)),""))</f>
        <v/>
      </c>
      <c r="D201" s="8">
        <f>IF($C201="","",IF($C201="A",$K$1,IF($C201="B",$M$1,$O$1)))</f>
        <v/>
      </c>
      <c r="E201" s="12" t="n"/>
      <c r="F201" s="13">
        <f>IF(OR($A201="",$E201=""),"",$E201+$D201)</f>
        <v/>
      </c>
      <c r="G201" s="8">
        <f>IF($F201="","",IF($F201&lt;TODAY(),"OVERDUE","ON TRACK"))</f>
        <v/>
      </c>
      <c r="H201" s="8">
        <f>IF($A201="","",IF(COUNTIFS('Blind Count Entry'!$C:$C,$A201,'Blind Count Entry'!$B:$B,"&gt;="&amp;DATE(YEAR(TODAY()),MONTH(TODAY()),1),'Blind Count Entry'!$B:$B,"&lt;="&amp;EOMONTH(TODAY(),0))&gt;0,"YES","NO"))</f>
        <v/>
      </c>
    </row>
    <row r="202">
      <c r="A202" s="8">
        <f>IF('Master Inventory'!A200="","",'Master Inventory'!A200)</f>
        <v/>
      </c>
      <c r="B202" s="8">
        <f>IF($A202="","",INDEX('Master Inventory'!$B:$B,MATCH($A202,'Master Inventory'!$A:$A,0)))</f>
        <v/>
      </c>
      <c r="C202" s="8">
        <f>IF($A202="","",IFERROR(INDEX('ABC Analysis'!$F:$F,MATCH($A202,'ABC Analysis'!$A:$A,0)),""))</f>
        <v/>
      </c>
      <c r="D202" s="8">
        <f>IF($C202="","",IF($C202="A",$K$1,IF($C202="B",$M$1,$O$1)))</f>
        <v/>
      </c>
      <c r="E202" s="12" t="n"/>
      <c r="F202" s="13">
        <f>IF(OR($A202="",$E202=""),"",$E202+$D202)</f>
        <v/>
      </c>
      <c r="G202" s="8">
        <f>IF($F202="","",IF($F202&lt;TODAY(),"OVERDUE","ON TRACK"))</f>
        <v/>
      </c>
      <c r="H202" s="8">
        <f>IF($A202="","",IF(COUNTIFS('Blind Count Entry'!$C:$C,$A202,'Blind Count Entry'!$B:$B,"&gt;="&amp;DATE(YEAR(TODAY()),MONTH(TODAY()),1),'Blind Count Entry'!$B:$B,"&lt;="&amp;EOMONTH(TODAY(),0))&gt;0,"YES","NO"))</f>
        <v/>
      </c>
    </row>
    <row r="203">
      <c r="A203" s="8">
        <f>IF('Master Inventory'!A201="","",'Master Inventory'!A201)</f>
        <v/>
      </c>
      <c r="B203" s="8">
        <f>IF($A203="","",INDEX('Master Inventory'!$B:$B,MATCH($A203,'Master Inventory'!$A:$A,0)))</f>
        <v/>
      </c>
      <c r="C203" s="8">
        <f>IF($A203="","",IFERROR(INDEX('ABC Analysis'!$F:$F,MATCH($A203,'ABC Analysis'!$A:$A,0)),""))</f>
        <v/>
      </c>
      <c r="D203" s="8">
        <f>IF($C203="","",IF($C203="A",$K$1,IF($C203="B",$M$1,$O$1)))</f>
        <v/>
      </c>
      <c r="E203" s="12" t="n"/>
      <c r="F203" s="13">
        <f>IF(OR($A203="",$E203=""),"",$E203+$D203)</f>
        <v/>
      </c>
      <c r="G203" s="8">
        <f>IF($F203="","",IF($F203&lt;TODAY(),"OVERDUE","ON TRACK"))</f>
        <v/>
      </c>
      <c r="H203" s="8">
        <f>IF($A203="","",IF(COUNTIFS('Blind Count Entry'!$C:$C,$A203,'Blind Count Entry'!$B:$B,"&gt;="&amp;DATE(YEAR(TODAY()),MONTH(TODAY()),1),'Blind Count Entry'!$B:$B,"&lt;="&amp;EOMONTH(TODAY(),0))&gt;0,"YES","NO"))</f>
        <v/>
      </c>
    </row>
    <row r="204">
      <c r="A204" s="8">
        <f>IF('Master Inventory'!A202="","",'Master Inventory'!A202)</f>
        <v/>
      </c>
      <c r="B204" s="8">
        <f>IF($A204="","",INDEX('Master Inventory'!$B:$B,MATCH($A204,'Master Inventory'!$A:$A,0)))</f>
        <v/>
      </c>
      <c r="C204" s="8">
        <f>IF($A204="","",IFERROR(INDEX('ABC Analysis'!$F:$F,MATCH($A204,'ABC Analysis'!$A:$A,0)),""))</f>
        <v/>
      </c>
      <c r="D204" s="8">
        <f>IF($C204="","",IF($C204="A",$K$1,IF($C204="B",$M$1,$O$1)))</f>
        <v/>
      </c>
      <c r="E204" s="12" t="n"/>
      <c r="F204" s="13">
        <f>IF(OR($A204="",$E204=""),"",$E204+$D204)</f>
        <v/>
      </c>
      <c r="G204" s="8">
        <f>IF($F204="","",IF($F204&lt;TODAY(),"OVERDUE","ON TRACK"))</f>
        <v/>
      </c>
      <c r="H204" s="8">
        <f>IF($A204="","",IF(COUNTIFS('Blind Count Entry'!$C:$C,$A204,'Blind Count Entry'!$B:$B,"&gt;="&amp;DATE(YEAR(TODAY()),MONTH(TODAY()),1),'Blind Count Entry'!$B:$B,"&lt;="&amp;EOMONTH(TODAY(),0))&gt;0,"YES","NO"))</f>
        <v/>
      </c>
    </row>
    <row r="205">
      <c r="A205" s="8">
        <f>IF('Master Inventory'!A203="","",'Master Inventory'!A203)</f>
        <v/>
      </c>
      <c r="B205" s="8">
        <f>IF($A205="","",INDEX('Master Inventory'!$B:$B,MATCH($A205,'Master Inventory'!$A:$A,0)))</f>
        <v/>
      </c>
      <c r="C205" s="8">
        <f>IF($A205="","",IFERROR(INDEX('ABC Analysis'!$F:$F,MATCH($A205,'ABC Analysis'!$A:$A,0)),""))</f>
        <v/>
      </c>
      <c r="D205" s="8">
        <f>IF($C205="","",IF($C205="A",$K$1,IF($C205="B",$M$1,$O$1)))</f>
        <v/>
      </c>
      <c r="E205" s="12" t="n"/>
      <c r="F205" s="13">
        <f>IF(OR($A205="",$E205=""),"",$E205+$D205)</f>
        <v/>
      </c>
      <c r="G205" s="8">
        <f>IF($F205="","",IF($F205&lt;TODAY(),"OVERDUE","ON TRACK"))</f>
        <v/>
      </c>
      <c r="H205" s="8">
        <f>IF($A205="","",IF(COUNTIFS('Blind Count Entry'!$C:$C,$A205,'Blind Count Entry'!$B:$B,"&gt;="&amp;DATE(YEAR(TODAY()),MONTH(TODAY()),1),'Blind Count Entry'!$B:$B,"&lt;="&amp;EOMONTH(TODAY(),0))&gt;0,"YES","NO"))</f>
        <v/>
      </c>
    </row>
    <row r="206">
      <c r="A206" s="8">
        <f>IF('Master Inventory'!A204="","",'Master Inventory'!A204)</f>
        <v/>
      </c>
      <c r="B206" s="8">
        <f>IF($A206="","",INDEX('Master Inventory'!$B:$B,MATCH($A206,'Master Inventory'!$A:$A,0)))</f>
        <v/>
      </c>
      <c r="C206" s="8">
        <f>IF($A206="","",IFERROR(INDEX('ABC Analysis'!$F:$F,MATCH($A206,'ABC Analysis'!$A:$A,0)),""))</f>
        <v/>
      </c>
      <c r="D206" s="8">
        <f>IF($C206="","",IF($C206="A",$K$1,IF($C206="B",$M$1,$O$1)))</f>
        <v/>
      </c>
      <c r="E206" s="12" t="n"/>
      <c r="F206" s="13">
        <f>IF(OR($A206="",$E206=""),"",$E206+$D206)</f>
        <v/>
      </c>
      <c r="G206" s="8">
        <f>IF($F206="","",IF($F206&lt;TODAY(),"OVERDUE","ON TRACK"))</f>
        <v/>
      </c>
      <c r="H206" s="8">
        <f>IF($A206="","",IF(COUNTIFS('Blind Count Entry'!$C:$C,$A206,'Blind Count Entry'!$B:$B,"&gt;="&amp;DATE(YEAR(TODAY()),MONTH(TODAY()),1),'Blind Count Entry'!$B:$B,"&lt;="&amp;EOMONTH(TODAY(),0))&gt;0,"YES","NO"))</f>
        <v/>
      </c>
    </row>
    <row r="207">
      <c r="A207" s="8">
        <f>IF('Master Inventory'!A205="","",'Master Inventory'!A205)</f>
        <v/>
      </c>
      <c r="B207" s="8">
        <f>IF($A207="","",INDEX('Master Inventory'!$B:$B,MATCH($A207,'Master Inventory'!$A:$A,0)))</f>
        <v/>
      </c>
      <c r="C207" s="8">
        <f>IF($A207="","",IFERROR(INDEX('ABC Analysis'!$F:$F,MATCH($A207,'ABC Analysis'!$A:$A,0)),""))</f>
        <v/>
      </c>
      <c r="D207" s="8">
        <f>IF($C207="","",IF($C207="A",$K$1,IF($C207="B",$M$1,$O$1)))</f>
        <v/>
      </c>
      <c r="E207" s="12" t="n"/>
      <c r="F207" s="13">
        <f>IF(OR($A207="",$E207=""),"",$E207+$D207)</f>
        <v/>
      </c>
      <c r="G207" s="8">
        <f>IF($F207="","",IF($F207&lt;TODAY(),"OVERDUE","ON TRACK"))</f>
        <v/>
      </c>
      <c r="H207" s="8">
        <f>IF($A207="","",IF(COUNTIFS('Blind Count Entry'!$C:$C,$A207,'Blind Count Entry'!$B:$B,"&gt;="&amp;DATE(YEAR(TODAY()),MONTH(TODAY()),1),'Blind Count Entry'!$B:$B,"&lt;="&amp;EOMONTH(TODAY(),0))&gt;0,"YES","NO"))</f>
        <v/>
      </c>
    </row>
    <row r="208">
      <c r="A208" s="8">
        <f>IF('Master Inventory'!A206="","",'Master Inventory'!A206)</f>
        <v/>
      </c>
      <c r="B208" s="8">
        <f>IF($A208="","",INDEX('Master Inventory'!$B:$B,MATCH($A208,'Master Inventory'!$A:$A,0)))</f>
        <v/>
      </c>
      <c r="C208" s="8">
        <f>IF($A208="","",IFERROR(INDEX('ABC Analysis'!$F:$F,MATCH($A208,'ABC Analysis'!$A:$A,0)),""))</f>
        <v/>
      </c>
      <c r="D208" s="8">
        <f>IF($C208="","",IF($C208="A",$K$1,IF($C208="B",$M$1,$O$1)))</f>
        <v/>
      </c>
      <c r="E208" s="12" t="n"/>
      <c r="F208" s="13">
        <f>IF(OR($A208="",$E208=""),"",$E208+$D208)</f>
        <v/>
      </c>
      <c r="G208" s="8">
        <f>IF($F208="","",IF($F208&lt;TODAY(),"OVERDUE","ON TRACK"))</f>
        <v/>
      </c>
      <c r="H208" s="8">
        <f>IF($A208="","",IF(COUNTIFS('Blind Count Entry'!$C:$C,$A208,'Blind Count Entry'!$B:$B,"&gt;="&amp;DATE(YEAR(TODAY()),MONTH(TODAY()),1),'Blind Count Entry'!$B:$B,"&lt;="&amp;EOMONTH(TODAY(),0))&gt;0,"YES","NO"))</f>
        <v/>
      </c>
    </row>
    <row r="209">
      <c r="A209" s="8">
        <f>IF('Master Inventory'!A207="","",'Master Inventory'!A207)</f>
        <v/>
      </c>
      <c r="B209" s="8">
        <f>IF($A209="","",INDEX('Master Inventory'!$B:$B,MATCH($A209,'Master Inventory'!$A:$A,0)))</f>
        <v/>
      </c>
      <c r="C209" s="8">
        <f>IF($A209="","",IFERROR(INDEX('ABC Analysis'!$F:$F,MATCH($A209,'ABC Analysis'!$A:$A,0)),""))</f>
        <v/>
      </c>
      <c r="D209" s="8">
        <f>IF($C209="","",IF($C209="A",$K$1,IF($C209="B",$M$1,$O$1)))</f>
        <v/>
      </c>
      <c r="E209" s="12" t="n"/>
      <c r="F209" s="13">
        <f>IF(OR($A209="",$E209=""),"",$E209+$D209)</f>
        <v/>
      </c>
      <c r="G209" s="8">
        <f>IF($F209="","",IF($F209&lt;TODAY(),"OVERDUE","ON TRACK"))</f>
        <v/>
      </c>
      <c r="H209" s="8">
        <f>IF($A209="","",IF(COUNTIFS('Blind Count Entry'!$C:$C,$A209,'Blind Count Entry'!$B:$B,"&gt;="&amp;DATE(YEAR(TODAY()),MONTH(TODAY()),1),'Blind Count Entry'!$B:$B,"&lt;="&amp;EOMONTH(TODAY(),0))&gt;0,"YES","NO"))</f>
        <v/>
      </c>
    </row>
    <row r="210">
      <c r="A210" s="8">
        <f>IF('Master Inventory'!A208="","",'Master Inventory'!A208)</f>
        <v/>
      </c>
      <c r="B210" s="8">
        <f>IF($A210="","",INDEX('Master Inventory'!$B:$B,MATCH($A210,'Master Inventory'!$A:$A,0)))</f>
        <v/>
      </c>
      <c r="C210" s="8">
        <f>IF($A210="","",IFERROR(INDEX('ABC Analysis'!$F:$F,MATCH($A210,'ABC Analysis'!$A:$A,0)),""))</f>
        <v/>
      </c>
      <c r="D210" s="8">
        <f>IF($C210="","",IF($C210="A",$K$1,IF($C210="B",$M$1,$O$1)))</f>
        <v/>
      </c>
      <c r="E210" s="12" t="n"/>
      <c r="F210" s="13">
        <f>IF(OR($A210="",$E210=""),"",$E210+$D210)</f>
        <v/>
      </c>
      <c r="G210" s="8">
        <f>IF($F210="","",IF($F210&lt;TODAY(),"OVERDUE","ON TRACK"))</f>
        <v/>
      </c>
      <c r="H210" s="8">
        <f>IF($A210="","",IF(COUNTIFS('Blind Count Entry'!$C:$C,$A210,'Blind Count Entry'!$B:$B,"&gt;="&amp;DATE(YEAR(TODAY()),MONTH(TODAY()),1),'Blind Count Entry'!$B:$B,"&lt;="&amp;EOMONTH(TODAY(),0))&gt;0,"YES","NO"))</f>
        <v/>
      </c>
    </row>
    <row r="211">
      <c r="A211" s="8">
        <f>IF('Master Inventory'!A209="","",'Master Inventory'!A209)</f>
        <v/>
      </c>
      <c r="B211" s="8">
        <f>IF($A211="","",INDEX('Master Inventory'!$B:$B,MATCH($A211,'Master Inventory'!$A:$A,0)))</f>
        <v/>
      </c>
      <c r="C211" s="8">
        <f>IF($A211="","",IFERROR(INDEX('ABC Analysis'!$F:$F,MATCH($A211,'ABC Analysis'!$A:$A,0)),""))</f>
        <v/>
      </c>
      <c r="D211" s="8">
        <f>IF($C211="","",IF($C211="A",$K$1,IF($C211="B",$M$1,$O$1)))</f>
        <v/>
      </c>
      <c r="E211" s="12" t="n"/>
      <c r="F211" s="13">
        <f>IF(OR($A211="",$E211=""),"",$E211+$D211)</f>
        <v/>
      </c>
      <c r="G211" s="8">
        <f>IF($F211="","",IF($F211&lt;TODAY(),"OVERDUE","ON TRACK"))</f>
        <v/>
      </c>
      <c r="H211" s="8">
        <f>IF($A211="","",IF(COUNTIFS('Blind Count Entry'!$C:$C,$A211,'Blind Count Entry'!$B:$B,"&gt;="&amp;DATE(YEAR(TODAY()),MONTH(TODAY()),1),'Blind Count Entry'!$B:$B,"&lt;="&amp;EOMONTH(TODAY(),0))&gt;0,"YES","NO"))</f>
        <v/>
      </c>
    </row>
    <row r="212">
      <c r="A212" s="8">
        <f>IF('Master Inventory'!A210="","",'Master Inventory'!A210)</f>
        <v/>
      </c>
      <c r="B212" s="8">
        <f>IF($A212="","",INDEX('Master Inventory'!$B:$B,MATCH($A212,'Master Inventory'!$A:$A,0)))</f>
        <v/>
      </c>
      <c r="C212" s="8">
        <f>IF($A212="","",IFERROR(INDEX('ABC Analysis'!$F:$F,MATCH($A212,'ABC Analysis'!$A:$A,0)),""))</f>
        <v/>
      </c>
      <c r="D212" s="8">
        <f>IF($C212="","",IF($C212="A",$K$1,IF($C212="B",$M$1,$O$1)))</f>
        <v/>
      </c>
      <c r="E212" s="12" t="n"/>
      <c r="F212" s="13">
        <f>IF(OR($A212="",$E212=""),"",$E212+$D212)</f>
        <v/>
      </c>
      <c r="G212" s="8">
        <f>IF($F212="","",IF($F212&lt;TODAY(),"OVERDUE","ON TRACK"))</f>
        <v/>
      </c>
      <c r="H212" s="8">
        <f>IF($A212="","",IF(COUNTIFS('Blind Count Entry'!$C:$C,$A212,'Blind Count Entry'!$B:$B,"&gt;="&amp;DATE(YEAR(TODAY()),MONTH(TODAY()),1),'Blind Count Entry'!$B:$B,"&lt;="&amp;EOMONTH(TODAY(),0))&gt;0,"YES","NO"))</f>
        <v/>
      </c>
    </row>
    <row r="213">
      <c r="A213" s="8">
        <f>IF('Master Inventory'!A211="","",'Master Inventory'!A211)</f>
        <v/>
      </c>
      <c r="B213" s="8">
        <f>IF($A213="","",INDEX('Master Inventory'!$B:$B,MATCH($A213,'Master Inventory'!$A:$A,0)))</f>
        <v/>
      </c>
      <c r="C213" s="8">
        <f>IF($A213="","",IFERROR(INDEX('ABC Analysis'!$F:$F,MATCH($A213,'ABC Analysis'!$A:$A,0)),""))</f>
        <v/>
      </c>
      <c r="D213" s="8">
        <f>IF($C213="","",IF($C213="A",$K$1,IF($C213="B",$M$1,$O$1)))</f>
        <v/>
      </c>
      <c r="E213" s="12" t="n"/>
      <c r="F213" s="13">
        <f>IF(OR($A213="",$E213=""),"",$E213+$D213)</f>
        <v/>
      </c>
      <c r="G213" s="8">
        <f>IF($F213="","",IF($F213&lt;TODAY(),"OVERDUE","ON TRACK"))</f>
        <v/>
      </c>
      <c r="H213" s="8">
        <f>IF($A213="","",IF(COUNTIFS('Blind Count Entry'!$C:$C,$A213,'Blind Count Entry'!$B:$B,"&gt;="&amp;DATE(YEAR(TODAY()),MONTH(TODAY()),1),'Blind Count Entry'!$B:$B,"&lt;="&amp;EOMONTH(TODAY(),0))&gt;0,"YES","NO"))</f>
        <v/>
      </c>
    </row>
    <row r="214">
      <c r="A214" s="8">
        <f>IF('Master Inventory'!A212="","",'Master Inventory'!A212)</f>
        <v/>
      </c>
      <c r="B214" s="8">
        <f>IF($A214="","",INDEX('Master Inventory'!$B:$B,MATCH($A214,'Master Inventory'!$A:$A,0)))</f>
        <v/>
      </c>
      <c r="C214" s="8">
        <f>IF($A214="","",IFERROR(INDEX('ABC Analysis'!$F:$F,MATCH($A214,'ABC Analysis'!$A:$A,0)),""))</f>
        <v/>
      </c>
      <c r="D214" s="8">
        <f>IF($C214="","",IF($C214="A",$K$1,IF($C214="B",$M$1,$O$1)))</f>
        <v/>
      </c>
      <c r="E214" s="12" t="n"/>
      <c r="F214" s="13">
        <f>IF(OR($A214="",$E214=""),"",$E214+$D214)</f>
        <v/>
      </c>
      <c r="G214" s="8">
        <f>IF($F214="","",IF($F214&lt;TODAY(),"OVERDUE","ON TRACK"))</f>
        <v/>
      </c>
      <c r="H214" s="8">
        <f>IF($A214="","",IF(COUNTIFS('Blind Count Entry'!$C:$C,$A214,'Blind Count Entry'!$B:$B,"&gt;="&amp;DATE(YEAR(TODAY()),MONTH(TODAY()),1),'Blind Count Entry'!$B:$B,"&lt;="&amp;EOMONTH(TODAY(),0))&gt;0,"YES","NO"))</f>
        <v/>
      </c>
    </row>
    <row r="215">
      <c r="A215" s="8">
        <f>IF('Master Inventory'!A213="","",'Master Inventory'!A213)</f>
        <v/>
      </c>
      <c r="B215" s="8">
        <f>IF($A215="","",INDEX('Master Inventory'!$B:$B,MATCH($A215,'Master Inventory'!$A:$A,0)))</f>
        <v/>
      </c>
      <c r="C215" s="8">
        <f>IF($A215="","",IFERROR(INDEX('ABC Analysis'!$F:$F,MATCH($A215,'ABC Analysis'!$A:$A,0)),""))</f>
        <v/>
      </c>
      <c r="D215" s="8">
        <f>IF($C215="","",IF($C215="A",$K$1,IF($C215="B",$M$1,$O$1)))</f>
        <v/>
      </c>
      <c r="E215" s="12" t="n"/>
      <c r="F215" s="13">
        <f>IF(OR($A215="",$E215=""),"",$E215+$D215)</f>
        <v/>
      </c>
      <c r="G215" s="8">
        <f>IF($F215="","",IF($F215&lt;TODAY(),"OVERDUE","ON TRACK"))</f>
        <v/>
      </c>
      <c r="H215" s="8">
        <f>IF($A215="","",IF(COUNTIFS('Blind Count Entry'!$C:$C,$A215,'Blind Count Entry'!$B:$B,"&gt;="&amp;DATE(YEAR(TODAY()),MONTH(TODAY()),1),'Blind Count Entry'!$B:$B,"&lt;="&amp;EOMONTH(TODAY(),0))&gt;0,"YES","NO"))</f>
        <v/>
      </c>
    </row>
    <row r="216">
      <c r="A216" s="8">
        <f>IF('Master Inventory'!A214="","",'Master Inventory'!A214)</f>
        <v/>
      </c>
      <c r="B216" s="8">
        <f>IF($A216="","",INDEX('Master Inventory'!$B:$B,MATCH($A216,'Master Inventory'!$A:$A,0)))</f>
        <v/>
      </c>
      <c r="C216" s="8">
        <f>IF($A216="","",IFERROR(INDEX('ABC Analysis'!$F:$F,MATCH($A216,'ABC Analysis'!$A:$A,0)),""))</f>
        <v/>
      </c>
      <c r="D216" s="8">
        <f>IF($C216="","",IF($C216="A",$K$1,IF($C216="B",$M$1,$O$1)))</f>
        <v/>
      </c>
      <c r="E216" s="12" t="n"/>
      <c r="F216" s="13">
        <f>IF(OR($A216="",$E216=""),"",$E216+$D216)</f>
        <v/>
      </c>
      <c r="G216" s="8">
        <f>IF($F216="","",IF($F216&lt;TODAY(),"OVERDUE","ON TRACK"))</f>
        <v/>
      </c>
      <c r="H216" s="8">
        <f>IF($A216="","",IF(COUNTIFS('Blind Count Entry'!$C:$C,$A216,'Blind Count Entry'!$B:$B,"&gt;="&amp;DATE(YEAR(TODAY()),MONTH(TODAY()),1),'Blind Count Entry'!$B:$B,"&lt;="&amp;EOMONTH(TODAY(),0))&gt;0,"YES","NO"))</f>
        <v/>
      </c>
    </row>
    <row r="217">
      <c r="A217" s="8">
        <f>IF('Master Inventory'!A215="","",'Master Inventory'!A215)</f>
        <v/>
      </c>
      <c r="B217" s="8">
        <f>IF($A217="","",INDEX('Master Inventory'!$B:$B,MATCH($A217,'Master Inventory'!$A:$A,0)))</f>
        <v/>
      </c>
      <c r="C217" s="8">
        <f>IF($A217="","",IFERROR(INDEX('ABC Analysis'!$F:$F,MATCH($A217,'ABC Analysis'!$A:$A,0)),""))</f>
        <v/>
      </c>
      <c r="D217" s="8">
        <f>IF($C217="","",IF($C217="A",$K$1,IF($C217="B",$M$1,$O$1)))</f>
        <v/>
      </c>
      <c r="E217" s="12" t="n"/>
      <c r="F217" s="13">
        <f>IF(OR($A217="",$E217=""),"",$E217+$D217)</f>
        <v/>
      </c>
      <c r="G217" s="8">
        <f>IF($F217="","",IF($F217&lt;TODAY(),"OVERDUE","ON TRACK"))</f>
        <v/>
      </c>
      <c r="H217" s="8">
        <f>IF($A217="","",IF(COUNTIFS('Blind Count Entry'!$C:$C,$A217,'Blind Count Entry'!$B:$B,"&gt;="&amp;DATE(YEAR(TODAY()),MONTH(TODAY()),1),'Blind Count Entry'!$B:$B,"&lt;="&amp;EOMONTH(TODAY(),0))&gt;0,"YES","NO"))</f>
        <v/>
      </c>
    </row>
    <row r="218">
      <c r="A218" s="8">
        <f>IF('Master Inventory'!A216="","",'Master Inventory'!A216)</f>
        <v/>
      </c>
      <c r="B218" s="8">
        <f>IF($A218="","",INDEX('Master Inventory'!$B:$B,MATCH($A218,'Master Inventory'!$A:$A,0)))</f>
        <v/>
      </c>
      <c r="C218" s="8">
        <f>IF($A218="","",IFERROR(INDEX('ABC Analysis'!$F:$F,MATCH($A218,'ABC Analysis'!$A:$A,0)),""))</f>
        <v/>
      </c>
      <c r="D218" s="8">
        <f>IF($C218="","",IF($C218="A",$K$1,IF($C218="B",$M$1,$O$1)))</f>
        <v/>
      </c>
      <c r="E218" s="12" t="n"/>
      <c r="F218" s="13">
        <f>IF(OR($A218="",$E218=""),"",$E218+$D218)</f>
        <v/>
      </c>
      <c r="G218" s="8">
        <f>IF($F218="","",IF($F218&lt;TODAY(),"OVERDUE","ON TRACK"))</f>
        <v/>
      </c>
      <c r="H218" s="8">
        <f>IF($A218="","",IF(COUNTIFS('Blind Count Entry'!$C:$C,$A218,'Blind Count Entry'!$B:$B,"&gt;="&amp;DATE(YEAR(TODAY()),MONTH(TODAY()),1),'Blind Count Entry'!$B:$B,"&lt;="&amp;EOMONTH(TODAY(),0))&gt;0,"YES","NO"))</f>
        <v/>
      </c>
    </row>
    <row r="219">
      <c r="A219" s="8">
        <f>IF('Master Inventory'!A217="","",'Master Inventory'!A217)</f>
        <v/>
      </c>
      <c r="B219" s="8">
        <f>IF($A219="","",INDEX('Master Inventory'!$B:$B,MATCH($A219,'Master Inventory'!$A:$A,0)))</f>
        <v/>
      </c>
      <c r="C219" s="8">
        <f>IF($A219="","",IFERROR(INDEX('ABC Analysis'!$F:$F,MATCH($A219,'ABC Analysis'!$A:$A,0)),""))</f>
        <v/>
      </c>
      <c r="D219" s="8">
        <f>IF($C219="","",IF($C219="A",$K$1,IF($C219="B",$M$1,$O$1)))</f>
        <v/>
      </c>
      <c r="E219" s="12" t="n"/>
      <c r="F219" s="13">
        <f>IF(OR($A219="",$E219=""),"",$E219+$D219)</f>
        <v/>
      </c>
      <c r="G219" s="8">
        <f>IF($F219="","",IF($F219&lt;TODAY(),"OVERDUE","ON TRACK"))</f>
        <v/>
      </c>
      <c r="H219" s="8">
        <f>IF($A219="","",IF(COUNTIFS('Blind Count Entry'!$C:$C,$A219,'Blind Count Entry'!$B:$B,"&gt;="&amp;DATE(YEAR(TODAY()),MONTH(TODAY()),1),'Blind Count Entry'!$B:$B,"&lt;="&amp;EOMONTH(TODAY(),0))&gt;0,"YES","NO"))</f>
        <v/>
      </c>
    </row>
    <row r="220">
      <c r="A220" s="8">
        <f>IF('Master Inventory'!A218="","",'Master Inventory'!A218)</f>
        <v/>
      </c>
      <c r="B220" s="8">
        <f>IF($A220="","",INDEX('Master Inventory'!$B:$B,MATCH($A220,'Master Inventory'!$A:$A,0)))</f>
        <v/>
      </c>
      <c r="C220" s="8">
        <f>IF($A220="","",IFERROR(INDEX('ABC Analysis'!$F:$F,MATCH($A220,'ABC Analysis'!$A:$A,0)),""))</f>
        <v/>
      </c>
      <c r="D220" s="8">
        <f>IF($C220="","",IF($C220="A",$K$1,IF($C220="B",$M$1,$O$1)))</f>
        <v/>
      </c>
      <c r="E220" s="12" t="n"/>
      <c r="F220" s="13">
        <f>IF(OR($A220="",$E220=""),"",$E220+$D220)</f>
        <v/>
      </c>
      <c r="G220" s="8">
        <f>IF($F220="","",IF($F220&lt;TODAY(),"OVERDUE","ON TRACK"))</f>
        <v/>
      </c>
      <c r="H220" s="8">
        <f>IF($A220="","",IF(COUNTIFS('Blind Count Entry'!$C:$C,$A220,'Blind Count Entry'!$B:$B,"&gt;="&amp;DATE(YEAR(TODAY()),MONTH(TODAY()),1),'Blind Count Entry'!$B:$B,"&lt;="&amp;EOMONTH(TODAY(),0))&gt;0,"YES","NO"))</f>
        <v/>
      </c>
    </row>
    <row r="221">
      <c r="A221" s="8">
        <f>IF('Master Inventory'!A219="","",'Master Inventory'!A219)</f>
        <v/>
      </c>
      <c r="B221" s="8">
        <f>IF($A221="","",INDEX('Master Inventory'!$B:$B,MATCH($A221,'Master Inventory'!$A:$A,0)))</f>
        <v/>
      </c>
      <c r="C221" s="8">
        <f>IF($A221="","",IFERROR(INDEX('ABC Analysis'!$F:$F,MATCH($A221,'ABC Analysis'!$A:$A,0)),""))</f>
        <v/>
      </c>
      <c r="D221" s="8">
        <f>IF($C221="","",IF($C221="A",$K$1,IF($C221="B",$M$1,$O$1)))</f>
        <v/>
      </c>
      <c r="E221" s="12" t="n"/>
      <c r="F221" s="13">
        <f>IF(OR($A221="",$E221=""),"",$E221+$D221)</f>
        <v/>
      </c>
      <c r="G221" s="8">
        <f>IF($F221="","",IF($F221&lt;TODAY(),"OVERDUE","ON TRACK"))</f>
        <v/>
      </c>
      <c r="H221" s="8">
        <f>IF($A221="","",IF(COUNTIFS('Blind Count Entry'!$C:$C,$A221,'Blind Count Entry'!$B:$B,"&gt;="&amp;DATE(YEAR(TODAY()),MONTH(TODAY()),1),'Blind Count Entry'!$B:$B,"&lt;="&amp;EOMONTH(TODAY(),0))&gt;0,"YES","NO"))</f>
        <v/>
      </c>
    </row>
    <row r="222">
      <c r="A222" s="8">
        <f>IF('Master Inventory'!A220="","",'Master Inventory'!A220)</f>
        <v/>
      </c>
      <c r="B222" s="8">
        <f>IF($A222="","",INDEX('Master Inventory'!$B:$B,MATCH($A222,'Master Inventory'!$A:$A,0)))</f>
        <v/>
      </c>
      <c r="C222" s="8">
        <f>IF($A222="","",IFERROR(INDEX('ABC Analysis'!$F:$F,MATCH($A222,'ABC Analysis'!$A:$A,0)),""))</f>
        <v/>
      </c>
      <c r="D222" s="8">
        <f>IF($C222="","",IF($C222="A",$K$1,IF($C222="B",$M$1,$O$1)))</f>
        <v/>
      </c>
      <c r="E222" s="12" t="n"/>
      <c r="F222" s="13">
        <f>IF(OR($A222="",$E222=""),"",$E222+$D222)</f>
        <v/>
      </c>
      <c r="G222" s="8">
        <f>IF($F222="","",IF($F222&lt;TODAY(),"OVERDUE","ON TRACK"))</f>
        <v/>
      </c>
      <c r="H222" s="8">
        <f>IF($A222="","",IF(COUNTIFS('Blind Count Entry'!$C:$C,$A222,'Blind Count Entry'!$B:$B,"&gt;="&amp;DATE(YEAR(TODAY()),MONTH(TODAY()),1),'Blind Count Entry'!$B:$B,"&lt;="&amp;EOMONTH(TODAY(),0))&gt;0,"YES","NO"))</f>
        <v/>
      </c>
    </row>
    <row r="223">
      <c r="A223" s="8">
        <f>IF('Master Inventory'!A221="","",'Master Inventory'!A221)</f>
        <v/>
      </c>
      <c r="B223" s="8">
        <f>IF($A223="","",INDEX('Master Inventory'!$B:$B,MATCH($A223,'Master Inventory'!$A:$A,0)))</f>
        <v/>
      </c>
      <c r="C223" s="8">
        <f>IF($A223="","",IFERROR(INDEX('ABC Analysis'!$F:$F,MATCH($A223,'ABC Analysis'!$A:$A,0)),""))</f>
        <v/>
      </c>
      <c r="D223" s="8">
        <f>IF($C223="","",IF($C223="A",$K$1,IF($C223="B",$M$1,$O$1)))</f>
        <v/>
      </c>
      <c r="E223" s="12" t="n"/>
      <c r="F223" s="13">
        <f>IF(OR($A223="",$E223=""),"",$E223+$D223)</f>
        <v/>
      </c>
      <c r="G223" s="8">
        <f>IF($F223="","",IF($F223&lt;TODAY(),"OVERDUE","ON TRACK"))</f>
        <v/>
      </c>
      <c r="H223" s="8">
        <f>IF($A223="","",IF(COUNTIFS('Blind Count Entry'!$C:$C,$A223,'Blind Count Entry'!$B:$B,"&gt;="&amp;DATE(YEAR(TODAY()),MONTH(TODAY()),1),'Blind Count Entry'!$B:$B,"&lt;="&amp;EOMONTH(TODAY(),0))&gt;0,"YES","NO"))</f>
        <v/>
      </c>
    </row>
    <row r="224">
      <c r="A224" s="8">
        <f>IF('Master Inventory'!A222="","",'Master Inventory'!A222)</f>
        <v/>
      </c>
      <c r="B224" s="8">
        <f>IF($A224="","",INDEX('Master Inventory'!$B:$B,MATCH($A224,'Master Inventory'!$A:$A,0)))</f>
        <v/>
      </c>
      <c r="C224" s="8">
        <f>IF($A224="","",IFERROR(INDEX('ABC Analysis'!$F:$F,MATCH($A224,'ABC Analysis'!$A:$A,0)),""))</f>
        <v/>
      </c>
      <c r="D224" s="8">
        <f>IF($C224="","",IF($C224="A",$K$1,IF($C224="B",$M$1,$O$1)))</f>
        <v/>
      </c>
      <c r="E224" s="12" t="n"/>
      <c r="F224" s="13">
        <f>IF(OR($A224="",$E224=""),"",$E224+$D224)</f>
        <v/>
      </c>
      <c r="G224" s="8">
        <f>IF($F224="","",IF($F224&lt;TODAY(),"OVERDUE","ON TRACK"))</f>
        <v/>
      </c>
      <c r="H224" s="8">
        <f>IF($A224="","",IF(COUNTIFS('Blind Count Entry'!$C:$C,$A224,'Blind Count Entry'!$B:$B,"&gt;="&amp;DATE(YEAR(TODAY()),MONTH(TODAY()),1),'Blind Count Entry'!$B:$B,"&lt;="&amp;EOMONTH(TODAY(),0))&gt;0,"YES","NO"))</f>
        <v/>
      </c>
    </row>
    <row r="225">
      <c r="A225" s="8">
        <f>IF('Master Inventory'!A223="","",'Master Inventory'!A223)</f>
        <v/>
      </c>
      <c r="B225" s="8">
        <f>IF($A225="","",INDEX('Master Inventory'!$B:$B,MATCH($A225,'Master Inventory'!$A:$A,0)))</f>
        <v/>
      </c>
      <c r="C225" s="8">
        <f>IF($A225="","",IFERROR(INDEX('ABC Analysis'!$F:$F,MATCH($A225,'ABC Analysis'!$A:$A,0)),""))</f>
        <v/>
      </c>
      <c r="D225" s="8">
        <f>IF($C225="","",IF($C225="A",$K$1,IF($C225="B",$M$1,$O$1)))</f>
        <v/>
      </c>
      <c r="E225" s="12" t="n"/>
      <c r="F225" s="13">
        <f>IF(OR($A225="",$E225=""),"",$E225+$D225)</f>
        <v/>
      </c>
      <c r="G225" s="8">
        <f>IF($F225="","",IF($F225&lt;TODAY(),"OVERDUE","ON TRACK"))</f>
        <v/>
      </c>
      <c r="H225" s="8">
        <f>IF($A225="","",IF(COUNTIFS('Blind Count Entry'!$C:$C,$A225,'Blind Count Entry'!$B:$B,"&gt;="&amp;DATE(YEAR(TODAY()),MONTH(TODAY()),1),'Blind Count Entry'!$B:$B,"&lt;="&amp;EOMONTH(TODAY(),0))&gt;0,"YES","NO"))</f>
        <v/>
      </c>
    </row>
    <row r="226">
      <c r="A226" s="8">
        <f>IF('Master Inventory'!A224="","",'Master Inventory'!A224)</f>
        <v/>
      </c>
      <c r="B226" s="8">
        <f>IF($A226="","",INDEX('Master Inventory'!$B:$B,MATCH($A226,'Master Inventory'!$A:$A,0)))</f>
        <v/>
      </c>
      <c r="C226" s="8">
        <f>IF($A226="","",IFERROR(INDEX('ABC Analysis'!$F:$F,MATCH($A226,'ABC Analysis'!$A:$A,0)),""))</f>
        <v/>
      </c>
      <c r="D226" s="8">
        <f>IF($C226="","",IF($C226="A",$K$1,IF($C226="B",$M$1,$O$1)))</f>
        <v/>
      </c>
      <c r="E226" s="12" t="n"/>
      <c r="F226" s="13">
        <f>IF(OR($A226="",$E226=""),"",$E226+$D226)</f>
        <v/>
      </c>
      <c r="G226" s="8">
        <f>IF($F226="","",IF($F226&lt;TODAY(),"OVERDUE","ON TRACK"))</f>
        <v/>
      </c>
      <c r="H226" s="8">
        <f>IF($A226="","",IF(COUNTIFS('Blind Count Entry'!$C:$C,$A226,'Blind Count Entry'!$B:$B,"&gt;="&amp;DATE(YEAR(TODAY()),MONTH(TODAY()),1),'Blind Count Entry'!$B:$B,"&lt;="&amp;EOMONTH(TODAY(),0))&gt;0,"YES","NO"))</f>
        <v/>
      </c>
    </row>
    <row r="227">
      <c r="A227" s="8">
        <f>IF('Master Inventory'!A225="","",'Master Inventory'!A225)</f>
        <v/>
      </c>
      <c r="B227" s="8">
        <f>IF($A227="","",INDEX('Master Inventory'!$B:$B,MATCH($A227,'Master Inventory'!$A:$A,0)))</f>
        <v/>
      </c>
      <c r="C227" s="8">
        <f>IF($A227="","",IFERROR(INDEX('ABC Analysis'!$F:$F,MATCH($A227,'ABC Analysis'!$A:$A,0)),""))</f>
        <v/>
      </c>
      <c r="D227" s="8">
        <f>IF($C227="","",IF($C227="A",$K$1,IF($C227="B",$M$1,$O$1)))</f>
        <v/>
      </c>
      <c r="E227" s="12" t="n"/>
      <c r="F227" s="13">
        <f>IF(OR($A227="",$E227=""),"",$E227+$D227)</f>
        <v/>
      </c>
      <c r="G227" s="8">
        <f>IF($F227="","",IF($F227&lt;TODAY(),"OVERDUE","ON TRACK"))</f>
        <v/>
      </c>
      <c r="H227" s="8">
        <f>IF($A227="","",IF(COUNTIFS('Blind Count Entry'!$C:$C,$A227,'Blind Count Entry'!$B:$B,"&gt;="&amp;DATE(YEAR(TODAY()),MONTH(TODAY()),1),'Blind Count Entry'!$B:$B,"&lt;="&amp;EOMONTH(TODAY(),0))&gt;0,"YES","NO"))</f>
        <v/>
      </c>
    </row>
    <row r="228">
      <c r="A228" s="8">
        <f>IF('Master Inventory'!A226="","",'Master Inventory'!A226)</f>
        <v/>
      </c>
      <c r="B228" s="8">
        <f>IF($A228="","",INDEX('Master Inventory'!$B:$B,MATCH($A228,'Master Inventory'!$A:$A,0)))</f>
        <v/>
      </c>
      <c r="C228" s="8">
        <f>IF($A228="","",IFERROR(INDEX('ABC Analysis'!$F:$F,MATCH($A228,'ABC Analysis'!$A:$A,0)),""))</f>
        <v/>
      </c>
      <c r="D228" s="8">
        <f>IF($C228="","",IF($C228="A",$K$1,IF($C228="B",$M$1,$O$1)))</f>
        <v/>
      </c>
      <c r="E228" s="12" t="n"/>
      <c r="F228" s="13">
        <f>IF(OR($A228="",$E228=""),"",$E228+$D228)</f>
        <v/>
      </c>
      <c r="G228" s="8">
        <f>IF($F228="","",IF($F228&lt;TODAY(),"OVERDUE","ON TRACK"))</f>
        <v/>
      </c>
      <c r="H228" s="8">
        <f>IF($A228="","",IF(COUNTIFS('Blind Count Entry'!$C:$C,$A228,'Blind Count Entry'!$B:$B,"&gt;="&amp;DATE(YEAR(TODAY()),MONTH(TODAY()),1),'Blind Count Entry'!$B:$B,"&lt;="&amp;EOMONTH(TODAY(),0))&gt;0,"YES","NO"))</f>
        <v/>
      </c>
    </row>
    <row r="229">
      <c r="A229" s="8">
        <f>IF('Master Inventory'!A227="","",'Master Inventory'!A227)</f>
        <v/>
      </c>
      <c r="B229" s="8">
        <f>IF($A229="","",INDEX('Master Inventory'!$B:$B,MATCH($A229,'Master Inventory'!$A:$A,0)))</f>
        <v/>
      </c>
      <c r="C229" s="8">
        <f>IF($A229="","",IFERROR(INDEX('ABC Analysis'!$F:$F,MATCH($A229,'ABC Analysis'!$A:$A,0)),""))</f>
        <v/>
      </c>
      <c r="D229" s="8">
        <f>IF($C229="","",IF($C229="A",$K$1,IF($C229="B",$M$1,$O$1)))</f>
        <v/>
      </c>
      <c r="E229" s="12" t="n"/>
      <c r="F229" s="13">
        <f>IF(OR($A229="",$E229=""),"",$E229+$D229)</f>
        <v/>
      </c>
      <c r="G229" s="8">
        <f>IF($F229="","",IF($F229&lt;TODAY(),"OVERDUE","ON TRACK"))</f>
        <v/>
      </c>
      <c r="H229" s="8">
        <f>IF($A229="","",IF(COUNTIFS('Blind Count Entry'!$C:$C,$A229,'Blind Count Entry'!$B:$B,"&gt;="&amp;DATE(YEAR(TODAY()),MONTH(TODAY()),1),'Blind Count Entry'!$B:$B,"&lt;="&amp;EOMONTH(TODAY(),0))&gt;0,"YES","NO"))</f>
        <v/>
      </c>
    </row>
    <row r="230">
      <c r="A230" s="8">
        <f>IF('Master Inventory'!A228="","",'Master Inventory'!A228)</f>
        <v/>
      </c>
      <c r="B230" s="8">
        <f>IF($A230="","",INDEX('Master Inventory'!$B:$B,MATCH($A230,'Master Inventory'!$A:$A,0)))</f>
        <v/>
      </c>
      <c r="C230" s="8">
        <f>IF($A230="","",IFERROR(INDEX('ABC Analysis'!$F:$F,MATCH($A230,'ABC Analysis'!$A:$A,0)),""))</f>
        <v/>
      </c>
      <c r="D230" s="8">
        <f>IF($C230="","",IF($C230="A",$K$1,IF($C230="B",$M$1,$O$1)))</f>
        <v/>
      </c>
      <c r="E230" s="12" t="n"/>
      <c r="F230" s="13">
        <f>IF(OR($A230="",$E230=""),"",$E230+$D230)</f>
        <v/>
      </c>
      <c r="G230" s="8">
        <f>IF($F230="","",IF($F230&lt;TODAY(),"OVERDUE","ON TRACK"))</f>
        <v/>
      </c>
      <c r="H230" s="8">
        <f>IF($A230="","",IF(COUNTIFS('Blind Count Entry'!$C:$C,$A230,'Blind Count Entry'!$B:$B,"&gt;="&amp;DATE(YEAR(TODAY()),MONTH(TODAY()),1),'Blind Count Entry'!$B:$B,"&lt;="&amp;EOMONTH(TODAY(),0))&gt;0,"YES","NO"))</f>
        <v/>
      </c>
    </row>
    <row r="231">
      <c r="A231" s="8">
        <f>IF('Master Inventory'!A229="","",'Master Inventory'!A229)</f>
        <v/>
      </c>
      <c r="B231" s="8">
        <f>IF($A231="","",INDEX('Master Inventory'!$B:$B,MATCH($A231,'Master Inventory'!$A:$A,0)))</f>
        <v/>
      </c>
      <c r="C231" s="8">
        <f>IF($A231="","",IFERROR(INDEX('ABC Analysis'!$F:$F,MATCH($A231,'ABC Analysis'!$A:$A,0)),""))</f>
        <v/>
      </c>
      <c r="D231" s="8">
        <f>IF($C231="","",IF($C231="A",$K$1,IF($C231="B",$M$1,$O$1)))</f>
        <v/>
      </c>
      <c r="E231" s="12" t="n"/>
      <c r="F231" s="13">
        <f>IF(OR($A231="",$E231=""),"",$E231+$D231)</f>
        <v/>
      </c>
      <c r="G231" s="8">
        <f>IF($F231="","",IF($F231&lt;TODAY(),"OVERDUE","ON TRACK"))</f>
        <v/>
      </c>
      <c r="H231" s="8">
        <f>IF($A231="","",IF(COUNTIFS('Blind Count Entry'!$C:$C,$A231,'Blind Count Entry'!$B:$B,"&gt;="&amp;DATE(YEAR(TODAY()),MONTH(TODAY()),1),'Blind Count Entry'!$B:$B,"&lt;="&amp;EOMONTH(TODAY(),0))&gt;0,"YES","NO"))</f>
        <v/>
      </c>
    </row>
    <row r="232">
      <c r="A232" s="8">
        <f>IF('Master Inventory'!A230="","",'Master Inventory'!A230)</f>
        <v/>
      </c>
      <c r="B232" s="8">
        <f>IF($A232="","",INDEX('Master Inventory'!$B:$B,MATCH($A232,'Master Inventory'!$A:$A,0)))</f>
        <v/>
      </c>
      <c r="C232" s="8">
        <f>IF($A232="","",IFERROR(INDEX('ABC Analysis'!$F:$F,MATCH($A232,'ABC Analysis'!$A:$A,0)),""))</f>
        <v/>
      </c>
      <c r="D232" s="8">
        <f>IF($C232="","",IF($C232="A",$K$1,IF($C232="B",$M$1,$O$1)))</f>
        <v/>
      </c>
      <c r="E232" s="12" t="n"/>
      <c r="F232" s="13">
        <f>IF(OR($A232="",$E232=""),"",$E232+$D232)</f>
        <v/>
      </c>
      <c r="G232" s="8">
        <f>IF($F232="","",IF($F232&lt;TODAY(),"OVERDUE","ON TRACK"))</f>
        <v/>
      </c>
      <c r="H232" s="8">
        <f>IF($A232="","",IF(COUNTIFS('Blind Count Entry'!$C:$C,$A232,'Blind Count Entry'!$B:$B,"&gt;="&amp;DATE(YEAR(TODAY()),MONTH(TODAY()),1),'Blind Count Entry'!$B:$B,"&lt;="&amp;EOMONTH(TODAY(),0))&gt;0,"YES","NO"))</f>
        <v/>
      </c>
    </row>
    <row r="233">
      <c r="A233" s="8">
        <f>IF('Master Inventory'!A231="","",'Master Inventory'!A231)</f>
        <v/>
      </c>
      <c r="B233" s="8">
        <f>IF($A233="","",INDEX('Master Inventory'!$B:$B,MATCH($A233,'Master Inventory'!$A:$A,0)))</f>
        <v/>
      </c>
      <c r="C233" s="8">
        <f>IF($A233="","",IFERROR(INDEX('ABC Analysis'!$F:$F,MATCH($A233,'ABC Analysis'!$A:$A,0)),""))</f>
        <v/>
      </c>
      <c r="D233" s="8">
        <f>IF($C233="","",IF($C233="A",$K$1,IF($C233="B",$M$1,$O$1)))</f>
        <v/>
      </c>
      <c r="E233" s="12" t="n"/>
      <c r="F233" s="13">
        <f>IF(OR($A233="",$E233=""),"",$E233+$D233)</f>
        <v/>
      </c>
      <c r="G233" s="8">
        <f>IF($F233="","",IF($F233&lt;TODAY(),"OVERDUE","ON TRACK"))</f>
        <v/>
      </c>
      <c r="H233" s="8">
        <f>IF($A233="","",IF(COUNTIFS('Blind Count Entry'!$C:$C,$A233,'Blind Count Entry'!$B:$B,"&gt;="&amp;DATE(YEAR(TODAY()),MONTH(TODAY()),1),'Blind Count Entry'!$B:$B,"&lt;="&amp;EOMONTH(TODAY(),0))&gt;0,"YES","NO"))</f>
        <v/>
      </c>
    </row>
    <row r="234">
      <c r="A234" s="8">
        <f>IF('Master Inventory'!A232="","",'Master Inventory'!A232)</f>
        <v/>
      </c>
      <c r="B234" s="8">
        <f>IF($A234="","",INDEX('Master Inventory'!$B:$B,MATCH($A234,'Master Inventory'!$A:$A,0)))</f>
        <v/>
      </c>
      <c r="C234" s="8">
        <f>IF($A234="","",IFERROR(INDEX('ABC Analysis'!$F:$F,MATCH($A234,'ABC Analysis'!$A:$A,0)),""))</f>
        <v/>
      </c>
      <c r="D234" s="8">
        <f>IF($C234="","",IF($C234="A",$K$1,IF($C234="B",$M$1,$O$1)))</f>
        <v/>
      </c>
      <c r="E234" s="12" t="n"/>
      <c r="F234" s="13">
        <f>IF(OR($A234="",$E234=""),"",$E234+$D234)</f>
        <v/>
      </c>
      <c r="G234" s="8">
        <f>IF($F234="","",IF($F234&lt;TODAY(),"OVERDUE","ON TRACK"))</f>
        <v/>
      </c>
      <c r="H234" s="8">
        <f>IF($A234="","",IF(COUNTIFS('Blind Count Entry'!$C:$C,$A234,'Blind Count Entry'!$B:$B,"&gt;="&amp;DATE(YEAR(TODAY()),MONTH(TODAY()),1),'Blind Count Entry'!$B:$B,"&lt;="&amp;EOMONTH(TODAY(),0))&gt;0,"YES","NO"))</f>
        <v/>
      </c>
    </row>
    <row r="235">
      <c r="A235" s="8">
        <f>IF('Master Inventory'!A233="","",'Master Inventory'!A233)</f>
        <v/>
      </c>
      <c r="B235" s="8">
        <f>IF($A235="","",INDEX('Master Inventory'!$B:$B,MATCH($A235,'Master Inventory'!$A:$A,0)))</f>
        <v/>
      </c>
      <c r="C235" s="8">
        <f>IF($A235="","",IFERROR(INDEX('ABC Analysis'!$F:$F,MATCH($A235,'ABC Analysis'!$A:$A,0)),""))</f>
        <v/>
      </c>
      <c r="D235" s="8">
        <f>IF($C235="","",IF($C235="A",$K$1,IF($C235="B",$M$1,$O$1)))</f>
        <v/>
      </c>
      <c r="E235" s="12" t="n"/>
      <c r="F235" s="13">
        <f>IF(OR($A235="",$E235=""),"",$E235+$D235)</f>
        <v/>
      </c>
      <c r="G235" s="8">
        <f>IF($F235="","",IF($F235&lt;TODAY(),"OVERDUE","ON TRACK"))</f>
        <v/>
      </c>
      <c r="H235" s="8">
        <f>IF($A235="","",IF(COUNTIFS('Blind Count Entry'!$C:$C,$A235,'Blind Count Entry'!$B:$B,"&gt;="&amp;DATE(YEAR(TODAY()),MONTH(TODAY()),1),'Blind Count Entry'!$B:$B,"&lt;="&amp;EOMONTH(TODAY(),0))&gt;0,"YES","NO"))</f>
        <v/>
      </c>
    </row>
    <row r="236">
      <c r="A236" s="8">
        <f>IF('Master Inventory'!A234="","",'Master Inventory'!A234)</f>
        <v/>
      </c>
      <c r="B236" s="8">
        <f>IF($A236="","",INDEX('Master Inventory'!$B:$B,MATCH($A236,'Master Inventory'!$A:$A,0)))</f>
        <v/>
      </c>
      <c r="C236" s="8">
        <f>IF($A236="","",IFERROR(INDEX('ABC Analysis'!$F:$F,MATCH($A236,'ABC Analysis'!$A:$A,0)),""))</f>
        <v/>
      </c>
      <c r="D236" s="8">
        <f>IF($C236="","",IF($C236="A",$K$1,IF($C236="B",$M$1,$O$1)))</f>
        <v/>
      </c>
      <c r="E236" s="12" t="n"/>
      <c r="F236" s="13">
        <f>IF(OR($A236="",$E236=""),"",$E236+$D236)</f>
        <v/>
      </c>
      <c r="G236" s="8">
        <f>IF($F236="","",IF($F236&lt;TODAY(),"OVERDUE","ON TRACK"))</f>
        <v/>
      </c>
      <c r="H236" s="8">
        <f>IF($A236="","",IF(COUNTIFS('Blind Count Entry'!$C:$C,$A236,'Blind Count Entry'!$B:$B,"&gt;="&amp;DATE(YEAR(TODAY()),MONTH(TODAY()),1),'Blind Count Entry'!$B:$B,"&lt;="&amp;EOMONTH(TODAY(),0))&gt;0,"YES","NO"))</f>
        <v/>
      </c>
    </row>
    <row r="237">
      <c r="A237" s="8">
        <f>IF('Master Inventory'!A235="","",'Master Inventory'!A235)</f>
        <v/>
      </c>
      <c r="B237" s="8">
        <f>IF($A237="","",INDEX('Master Inventory'!$B:$B,MATCH($A237,'Master Inventory'!$A:$A,0)))</f>
        <v/>
      </c>
      <c r="C237" s="8">
        <f>IF($A237="","",IFERROR(INDEX('ABC Analysis'!$F:$F,MATCH($A237,'ABC Analysis'!$A:$A,0)),""))</f>
        <v/>
      </c>
      <c r="D237" s="8">
        <f>IF($C237="","",IF($C237="A",$K$1,IF($C237="B",$M$1,$O$1)))</f>
        <v/>
      </c>
      <c r="E237" s="12" t="n"/>
      <c r="F237" s="13">
        <f>IF(OR($A237="",$E237=""),"",$E237+$D237)</f>
        <v/>
      </c>
      <c r="G237" s="8">
        <f>IF($F237="","",IF($F237&lt;TODAY(),"OVERDUE","ON TRACK"))</f>
        <v/>
      </c>
      <c r="H237" s="8">
        <f>IF($A237="","",IF(COUNTIFS('Blind Count Entry'!$C:$C,$A237,'Blind Count Entry'!$B:$B,"&gt;="&amp;DATE(YEAR(TODAY()),MONTH(TODAY()),1),'Blind Count Entry'!$B:$B,"&lt;="&amp;EOMONTH(TODAY(),0))&gt;0,"YES","NO"))</f>
        <v/>
      </c>
    </row>
    <row r="238">
      <c r="A238" s="8">
        <f>IF('Master Inventory'!A236="","",'Master Inventory'!A236)</f>
        <v/>
      </c>
      <c r="B238" s="8">
        <f>IF($A238="","",INDEX('Master Inventory'!$B:$B,MATCH($A238,'Master Inventory'!$A:$A,0)))</f>
        <v/>
      </c>
      <c r="C238" s="8">
        <f>IF($A238="","",IFERROR(INDEX('ABC Analysis'!$F:$F,MATCH($A238,'ABC Analysis'!$A:$A,0)),""))</f>
        <v/>
      </c>
      <c r="D238" s="8">
        <f>IF($C238="","",IF($C238="A",$K$1,IF($C238="B",$M$1,$O$1)))</f>
        <v/>
      </c>
      <c r="E238" s="12" t="n"/>
      <c r="F238" s="13">
        <f>IF(OR($A238="",$E238=""),"",$E238+$D238)</f>
        <v/>
      </c>
      <c r="G238" s="8">
        <f>IF($F238="","",IF($F238&lt;TODAY(),"OVERDUE","ON TRACK"))</f>
        <v/>
      </c>
      <c r="H238" s="8">
        <f>IF($A238="","",IF(COUNTIFS('Blind Count Entry'!$C:$C,$A238,'Blind Count Entry'!$B:$B,"&gt;="&amp;DATE(YEAR(TODAY()),MONTH(TODAY()),1),'Blind Count Entry'!$B:$B,"&lt;="&amp;EOMONTH(TODAY(),0))&gt;0,"YES","NO"))</f>
        <v/>
      </c>
    </row>
    <row r="239">
      <c r="A239" s="8">
        <f>IF('Master Inventory'!A237="","",'Master Inventory'!A237)</f>
        <v/>
      </c>
      <c r="B239" s="8">
        <f>IF($A239="","",INDEX('Master Inventory'!$B:$B,MATCH($A239,'Master Inventory'!$A:$A,0)))</f>
        <v/>
      </c>
      <c r="C239" s="8">
        <f>IF($A239="","",IFERROR(INDEX('ABC Analysis'!$F:$F,MATCH($A239,'ABC Analysis'!$A:$A,0)),""))</f>
        <v/>
      </c>
      <c r="D239" s="8">
        <f>IF($C239="","",IF($C239="A",$K$1,IF($C239="B",$M$1,$O$1)))</f>
        <v/>
      </c>
      <c r="E239" s="12" t="n"/>
      <c r="F239" s="13">
        <f>IF(OR($A239="",$E239=""),"",$E239+$D239)</f>
        <v/>
      </c>
      <c r="G239" s="8">
        <f>IF($F239="","",IF($F239&lt;TODAY(),"OVERDUE","ON TRACK"))</f>
        <v/>
      </c>
      <c r="H239" s="8">
        <f>IF($A239="","",IF(COUNTIFS('Blind Count Entry'!$C:$C,$A239,'Blind Count Entry'!$B:$B,"&gt;="&amp;DATE(YEAR(TODAY()),MONTH(TODAY()),1),'Blind Count Entry'!$B:$B,"&lt;="&amp;EOMONTH(TODAY(),0))&gt;0,"YES","NO"))</f>
        <v/>
      </c>
    </row>
    <row r="240">
      <c r="A240" s="8">
        <f>IF('Master Inventory'!A238="","",'Master Inventory'!A238)</f>
        <v/>
      </c>
      <c r="B240" s="8">
        <f>IF($A240="","",INDEX('Master Inventory'!$B:$B,MATCH($A240,'Master Inventory'!$A:$A,0)))</f>
        <v/>
      </c>
      <c r="C240" s="8">
        <f>IF($A240="","",IFERROR(INDEX('ABC Analysis'!$F:$F,MATCH($A240,'ABC Analysis'!$A:$A,0)),""))</f>
        <v/>
      </c>
      <c r="D240" s="8">
        <f>IF($C240="","",IF($C240="A",$K$1,IF($C240="B",$M$1,$O$1)))</f>
        <v/>
      </c>
      <c r="E240" s="12" t="n"/>
      <c r="F240" s="13">
        <f>IF(OR($A240="",$E240=""),"",$E240+$D240)</f>
        <v/>
      </c>
      <c r="G240" s="8">
        <f>IF($F240="","",IF($F240&lt;TODAY(),"OVERDUE","ON TRACK"))</f>
        <v/>
      </c>
      <c r="H240" s="8">
        <f>IF($A240="","",IF(COUNTIFS('Blind Count Entry'!$C:$C,$A240,'Blind Count Entry'!$B:$B,"&gt;="&amp;DATE(YEAR(TODAY()),MONTH(TODAY()),1),'Blind Count Entry'!$B:$B,"&lt;="&amp;EOMONTH(TODAY(),0))&gt;0,"YES","NO"))</f>
        <v/>
      </c>
    </row>
    <row r="241">
      <c r="A241" s="8">
        <f>IF('Master Inventory'!A239="","",'Master Inventory'!A239)</f>
        <v/>
      </c>
      <c r="B241" s="8">
        <f>IF($A241="","",INDEX('Master Inventory'!$B:$B,MATCH($A241,'Master Inventory'!$A:$A,0)))</f>
        <v/>
      </c>
      <c r="C241" s="8">
        <f>IF($A241="","",IFERROR(INDEX('ABC Analysis'!$F:$F,MATCH($A241,'ABC Analysis'!$A:$A,0)),""))</f>
        <v/>
      </c>
      <c r="D241" s="8">
        <f>IF($C241="","",IF($C241="A",$K$1,IF($C241="B",$M$1,$O$1)))</f>
        <v/>
      </c>
      <c r="E241" s="12" t="n"/>
      <c r="F241" s="13">
        <f>IF(OR($A241="",$E241=""),"",$E241+$D241)</f>
        <v/>
      </c>
      <c r="G241" s="8">
        <f>IF($F241="","",IF($F241&lt;TODAY(),"OVERDUE","ON TRACK"))</f>
        <v/>
      </c>
      <c r="H241" s="8">
        <f>IF($A241="","",IF(COUNTIFS('Blind Count Entry'!$C:$C,$A241,'Blind Count Entry'!$B:$B,"&gt;="&amp;DATE(YEAR(TODAY()),MONTH(TODAY()),1),'Blind Count Entry'!$B:$B,"&lt;="&amp;EOMONTH(TODAY(),0))&gt;0,"YES","NO"))</f>
        <v/>
      </c>
    </row>
    <row r="242">
      <c r="A242" s="8">
        <f>IF('Master Inventory'!A240="","",'Master Inventory'!A240)</f>
        <v/>
      </c>
      <c r="B242" s="8">
        <f>IF($A242="","",INDEX('Master Inventory'!$B:$B,MATCH($A242,'Master Inventory'!$A:$A,0)))</f>
        <v/>
      </c>
      <c r="C242" s="8">
        <f>IF($A242="","",IFERROR(INDEX('ABC Analysis'!$F:$F,MATCH($A242,'ABC Analysis'!$A:$A,0)),""))</f>
        <v/>
      </c>
      <c r="D242" s="8">
        <f>IF($C242="","",IF($C242="A",$K$1,IF($C242="B",$M$1,$O$1)))</f>
        <v/>
      </c>
      <c r="E242" s="12" t="n"/>
      <c r="F242" s="13">
        <f>IF(OR($A242="",$E242=""),"",$E242+$D242)</f>
        <v/>
      </c>
      <c r="G242" s="8">
        <f>IF($F242="","",IF($F242&lt;TODAY(),"OVERDUE","ON TRACK"))</f>
        <v/>
      </c>
      <c r="H242" s="8">
        <f>IF($A242="","",IF(COUNTIFS('Blind Count Entry'!$C:$C,$A242,'Blind Count Entry'!$B:$B,"&gt;="&amp;DATE(YEAR(TODAY()),MONTH(TODAY()),1),'Blind Count Entry'!$B:$B,"&lt;="&amp;EOMONTH(TODAY(),0))&gt;0,"YES","NO"))</f>
        <v/>
      </c>
    </row>
    <row r="243">
      <c r="A243" s="8">
        <f>IF('Master Inventory'!A241="","",'Master Inventory'!A241)</f>
        <v/>
      </c>
      <c r="B243" s="8">
        <f>IF($A243="","",INDEX('Master Inventory'!$B:$B,MATCH($A243,'Master Inventory'!$A:$A,0)))</f>
        <v/>
      </c>
      <c r="C243" s="8">
        <f>IF($A243="","",IFERROR(INDEX('ABC Analysis'!$F:$F,MATCH($A243,'ABC Analysis'!$A:$A,0)),""))</f>
        <v/>
      </c>
      <c r="D243" s="8">
        <f>IF($C243="","",IF($C243="A",$K$1,IF($C243="B",$M$1,$O$1)))</f>
        <v/>
      </c>
      <c r="E243" s="12" t="n"/>
      <c r="F243" s="13">
        <f>IF(OR($A243="",$E243=""),"",$E243+$D243)</f>
        <v/>
      </c>
      <c r="G243" s="8">
        <f>IF($F243="","",IF($F243&lt;TODAY(),"OVERDUE","ON TRACK"))</f>
        <v/>
      </c>
      <c r="H243" s="8">
        <f>IF($A243="","",IF(COUNTIFS('Blind Count Entry'!$C:$C,$A243,'Blind Count Entry'!$B:$B,"&gt;="&amp;DATE(YEAR(TODAY()),MONTH(TODAY()),1),'Blind Count Entry'!$B:$B,"&lt;="&amp;EOMONTH(TODAY(),0))&gt;0,"YES","NO"))</f>
        <v/>
      </c>
    </row>
    <row r="244">
      <c r="A244" s="8">
        <f>IF('Master Inventory'!A242="","",'Master Inventory'!A242)</f>
        <v/>
      </c>
      <c r="B244" s="8">
        <f>IF($A244="","",INDEX('Master Inventory'!$B:$B,MATCH($A244,'Master Inventory'!$A:$A,0)))</f>
        <v/>
      </c>
      <c r="C244" s="8">
        <f>IF($A244="","",IFERROR(INDEX('ABC Analysis'!$F:$F,MATCH($A244,'ABC Analysis'!$A:$A,0)),""))</f>
        <v/>
      </c>
      <c r="D244" s="8">
        <f>IF($C244="","",IF($C244="A",$K$1,IF($C244="B",$M$1,$O$1)))</f>
        <v/>
      </c>
      <c r="E244" s="12" t="n"/>
      <c r="F244" s="13">
        <f>IF(OR($A244="",$E244=""),"",$E244+$D244)</f>
        <v/>
      </c>
      <c r="G244" s="8">
        <f>IF($F244="","",IF($F244&lt;TODAY(),"OVERDUE","ON TRACK"))</f>
        <v/>
      </c>
      <c r="H244" s="8">
        <f>IF($A244="","",IF(COUNTIFS('Blind Count Entry'!$C:$C,$A244,'Blind Count Entry'!$B:$B,"&gt;="&amp;DATE(YEAR(TODAY()),MONTH(TODAY()),1),'Blind Count Entry'!$B:$B,"&lt;="&amp;EOMONTH(TODAY(),0))&gt;0,"YES","NO"))</f>
        <v/>
      </c>
    </row>
    <row r="245">
      <c r="A245" s="8">
        <f>IF('Master Inventory'!A243="","",'Master Inventory'!A243)</f>
        <v/>
      </c>
      <c r="B245" s="8">
        <f>IF($A245="","",INDEX('Master Inventory'!$B:$B,MATCH($A245,'Master Inventory'!$A:$A,0)))</f>
        <v/>
      </c>
      <c r="C245" s="8">
        <f>IF($A245="","",IFERROR(INDEX('ABC Analysis'!$F:$F,MATCH($A245,'ABC Analysis'!$A:$A,0)),""))</f>
        <v/>
      </c>
      <c r="D245" s="8">
        <f>IF($C245="","",IF($C245="A",$K$1,IF($C245="B",$M$1,$O$1)))</f>
        <v/>
      </c>
      <c r="E245" s="12" t="n"/>
      <c r="F245" s="13">
        <f>IF(OR($A245="",$E245=""),"",$E245+$D245)</f>
        <v/>
      </c>
      <c r="G245" s="8">
        <f>IF($F245="","",IF($F245&lt;TODAY(),"OVERDUE","ON TRACK"))</f>
        <v/>
      </c>
      <c r="H245" s="8">
        <f>IF($A245="","",IF(COUNTIFS('Blind Count Entry'!$C:$C,$A245,'Blind Count Entry'!$B:$B,"&gt;="&amp;DATE(YEAR(TODAY()),MONTH(TODAY()),1),'Blind Count Entry'!$B:$B,"&lt;="&amp;EOMONTH(TODAY(),0))&gt;0,"YES","NO"))</f>
        <v/>
      </c>
    </row>
    <row r="246">
      <c r="A246" s="8">
        <f>IF('Master Inventory'!A244="","",'Master Inventory'!A244)</f>
        <v/>
      </c>
      <c r="B246" s="8">
        <f>IF($A246="","",INDEX('Master Inventory'!$B:$B,MATCH($A246,'Master Inventory'!$A:$A,0)))</f>
        <v/>
      </c>
      <c r="C246" s="8">
        <f>IF($A246="","",IFERROR(INDEX('ABC Analysis'!$F:$F,MATCH($A246,'ABC Analysis'!$A:$A,0)),""))</f>
        <v/>
      </c>
      <c r="D246" s="8">
        <f>IF($C246="","",IF($C246="A",$K$1,IF($C246="B",$M$1,$O$1)))</f>
        <v/>
      </c>
      <c r="E246" s="12" t="n"/>
      <c r="F246" s="13">
        <f>IF(OR($A246="",$E246=""),"",$E246+$D246)</f>
        <v/>
      </c>
      <c r="G246" s="8">
        <f>IF($F246="","",IF($F246&lt;TODAY(),"OVERDUE","ON TRACK"))</f>
        <v/>
      </c>
      <c r="H246" s="8">
        <f>IF($A246="","",IF(COUNTIFS('Blind Count Entry'!$C:$C,$A246,'Blind Count Entry'!$B:$B,"&gt;="&amp;DATE(YEAR(TODAY()),MONTH(TODAY()),1),'Blind Count Entry'!$B:$B,"&lt;="&amp;EOMONTH(TODAY(),0))&gt;0,"YES","NO"))</f>
        <v/>
      </c>
    </row>
    <row r="247">
      <c r="A247" s="8">
        <f>IF('Master Inventory'!A245="","",'Master Inventory'!A245)</f>
        <v/>
      </c>
      <c r="B247" s="8">
        <f>IF($A247="","",INDEX('Master Inventory'!$B:$B,MATCH($A247,'Master Inventory'!$A:$A,0)))</f>
        <v/>
      </c>
      <c r="C247" s="8">
        <f>IF($A247="","",IFERROR(INDEX('ABC Analysis'!$F:$F,MATCH($A247,'ABC Analysis'!$A:$A,0)),""))</f>
        <v/>
      </c>
      <c r="D247" s="8">
        <f>IF($C247="","",IF($C247="A",$K$1,IF($C247="B",$M$1,$O$1)))</f>
        <v/>
      </c>
      <c r="E247" s="12" t="n"/>
      <c r="F247" s="13">
        <f>IF(OR($A247="",$E247=""),"",$E247+$D247)</f>
        <v/>
      </c>
      <c r="G247" s="8">
        <f>IF($F247="","",IF($F247&lt;TODAY(),"OVERDUE","ON TRACK"))</f>
        <v/>
      </c>
      <c r="H247" s="8">
        <f>IF($A247="","",IF(COUNTIFS('Blind Count Entry'!$C:$C,$A247,'Blind Count Entry'!$B:$B,"&gt;="&amp;DATE(YEAR(TODAY()),MONTH(TODAY()),1),'Blind Count Entry'!$B:$B,"&lt;="&amp;EOMONTH(TODAY(),0))&gt;0,"YES","NO"))</f>
        <v/>
      </c>
    </row>
    <row r="248">
      <c r="A248" s="8">
        <f>IF('Master Inventory'!A246="","",'Master Inventory'!A246)</f>
        <v/>
      </c>
      <c r="B248" s="8">
        <f>IF($A248="","",INDEX('Master Inventory'!$B:$B,MATCH($A248,'Master Inventory'!$A:$A,0)))</f>
        <v/>
      </c>
      <c r="C248" s="8">
        <f>IF($A248="","",IFERROR(INDEX('ABC Analysis'!$F:$F,MATCH($A248,'ABC Analysis'!$A:$A,0)),""))</f>
        <v/>
      </c>
      <c r="D248" s="8">
        <f>IF($C248="","",IF($C248="A",$K$1,IF($C248="B",$M$1,$O$1)))</f>
        <v/>
      </c>
      <c r="E248" s="12" t="n"/>
      <c r="F248" s="13">
        <f>IF(OR($A248="",$E248=""),"",$E248+$D248)</f>
        <v/>
      </c>
      <c r="G248" s="8">
        <f>IF($F248="","",IF($F248&lt;TODAY(),"OVERDUE","ON TRACK"))</f>
        <v/>
      </c>
      <c r="H248" s="8">
        <f>IF($A248="","",IF(COUNTIFS('Blind Count Entry'!$C:$C,$A248,'Blind Count Entry'!$B:$B,"&gt;="&amp;DATE(YEAR(TODAY()),MONTH(TODAY()),1),'Blind Count Entry'!$B:$B,"&lt;="&amp;EOMONTH(TODAY(),0))&gt;0,"YES","NO"))</f>
        <v/>
      </c>
    </row>
    <row r="249">
      <c r="A249" s="8">
        <f>IF('Master Inventory'!A247="","",'Master Inventory'!A247)</f>
        <v/>
      </c>
      <c r="B249" s="8">
        <f>IF($A249="","",INDEX('Master Inventory'!$B:$B,MATCH($A249,'Master Inventory'!$A:$A,0)))</f>
        <v/>
      </c>
      <c r="C249" s="8">
        <f>IF($A249="","",IFERROR(INDEX('ABC Analysis'!$F:$F,MATCH($A249,'ABC Analysis'!$A:$A,0)),""))</f>
        <v/>
      </c>
      <c r="D249" s="8">
        <f>IF($C249="","",IF($C249="A",$K$1,IF($C249="B",$M$1,$O$1)))</f>
        <v/>
      </c>
      <c r="E249" s="12" t="n"/>
      <c r="F249" s="13">
        <f>IF(OR($A249="",$E249=""),"",$E249+$D249)</f>
        <v/>
      </c>
      <c r="G249" s="8">
        <f>IF($F249="","",IF($F249&lt;TODAY(),"OVERDUE","ON TRACK"))</f>
        <v/>
      </c>
      <c r="H249" s="8">
        <f>IF($A249="","",IF(COUNTIFS('Blind Count Entry'!$C:$C,$A249,'Blind Count Entry'!$B:$B,"&gt;="&amp;DATE(YEAR(TODAY()),MONTH(TODAY()),1),'Blind Count Entry'!$B:$B,"&lt;="&amp;EOMONTH(TODAY(),0))&gt;0,"YES","NO"))</f>
        <v/>
      </c>
    </row>
    <row r="250">
      <c r="A250" s="8">
        <f>IF('Master Inventory'!A248="","",'Master Inventory'!A248)</f>
        <v/>
      </c>
      <c r="B250" s="8">
        <f>IF($A250="","",INDEX('Master Inventory'!$B:$B,MATCH($A250,'Master Inventory'!$A:$A,0)))</f>
        <v/>
      </c>
      <c r="C250" s="8">
        <f>IF($A250="","",IFERROR(INDEX('ABC Analysis'!$F:$F,MATCH($A250,'ABC Analysis'!$A:$A,0)),""))</f>
        <v/>
      </c>
      <c r="D250" s="8">
        <f>IF($C250="","",IF($C250="A",$K$1,IF($C250="B",$M$1,$O$1)))</f>
        <v/>
      </c>
      <c r="E250" s="12" t="n"/>
      <c r="F250" s="13">
        <f>IF(OR($A250="",$E250=""),"",$E250+$D250)</f>
        <v/>
      </c>
      <c r="G250" s="8">
        <f>IF($F250="","",IF($F250&lt;TODAY(),"OVERDUE","ON TRACK"))</f>
        <v/>
      </c>
      <c r="H250" s="8">
        <f>IF($A250="","",IF(COUNTIFS('Blind Count Entry'!$C:$C,$A250,'Blind Count Entry'!$B:$B,"&gt;="&amp;DATE(YEAR(TODAY()),MONTH(TODAY()),1),'Blind Count Entry'!$B:$B,"&lt;="&amp;EOMONTH(TODAY(),0))&gt;0,"YES","NO"))</f>
        <v/>
      </c>
    </row>
    <row r="251">
      <c r="A251" s="8">
        <f>IF('Master Inventory'!A249="","",'Master Inventory'!A249)</f>
        <v/>
      </c>
      <c r="B251" s="8">
        <f>IF($A251="","",INDEX('Master Inventory'!$B:$B,MATCH($A251,'Master Inventory'!$A:$A,0)))</f>
        <v/>
      </c>
      <c r="C251" s="8">
        <f>IF($A251="","",IFERROR(INDEX('ABC Analysis'!$F:$F,MATCH($A251,'ABC Analysis'!$A:$A,0)),""))</f>
        <v/>
      </c>
      <c r="D251" s="8">
        <f>IF($C251="","",IF($C251="A",$K$1,IF($C251="B",$M$1,$O$1)))</f>
        <v/>
      </c>
      <c r="E251" s="12" t="n"/>
      <c r="F251" s="13">
        <f>IF(OR($A251="",$E251=""),"",$E251+$D251)</f>
        <v/>
      </c>
      <c r="G251" s="8">
        <f>IF($F251="","",IF($F251&lt;TODAY(),"OVERDUE","ON TRACK"))</f>
        <v/>
      </c>
      <c r="H251" s="8">
        <f>IF($A251="","",IF(COUNTIFS('Blind Count Entry'!$C:$C,$A251,'Blind Count Entry'!$B:$B,"&gt;="&amp;DATE(YEAR(TODAY()),MONTH(TODAY()),1),'Blind Count Entry'!$B:$B,"&lt;="&amp;EOMONTH(TODAY(),0))&gt;0,"YES","NO"))</f>
        <v/>
      </c>
    </row>
    <row r="252">
      <c r="A252" s="8">
        <f>IF('Master Inventory'!A250="","",'Master Inventory'!A250)</f>
        <v/>
      </c>
      <c r="B252" s="8">
        <f>IF($A252="","",INDEX('Master Inventory'!$B:$B,MATCH($A252,'Master Inventory'!$A:$A,0)))</f>
        <v/>
      </c>
      <c r="C252" s="8">
        <f>IF($A252="","",IFERROR(INDEX('ABC Analysis'!$F:$F,MATCH($A252,'ABC Analysis'!$A:$A,0)),""))</f>
        <v/>
      </c>
      <c r="D252" s="8">
        <f>IF($C252="","",IF($C252="A",$K$1,IF($C252="B",$M$1,$O$1)))</f>
        <v/>
      </c>
      <c r="E252" s="12" t="n"/>
      <c r="F252" s="13">
        <f>IF(OR($A252="",$E252=""),"",$E252+$D252)</f>
        <v/>
      </c>
      <c r="G252" s="8">
        <f>IF($F252="","",IF($F252&lt;TODAY(),"OVERDUE","ON TRACK"))</f>
        <v/>
      </c>
      <c r="H252" s="8">
        <f>IF($A252="","",IF(COUNTIFS('Blind Count Entry'!$C:$C,$A252,'Blind Count Entry'!$B:$B,"&gt;="&amp;DATE(YEAR(TODAY()),MONTH(TODAY()),1),'Blind Count Entry'!$B:$B,"&lt;="&amp;EOMONTH(TODAY(),0))&gt;0,"YES","NO"))</f>
        <v/>
      </c>
    </row>
    <row r="253">
      <c r="A253" s="8">
        <f>IF('Master Inventory'!A251="","",'Master Inventory'!A251)</f>
        <v/>
      </c>
      <c r="B253" s="8">
        <f>IF($A253="","",INDEX('Master Inventory'!$B:$B,MATCH($A253,'Master Inventory'!$A:$A,0)))</f>
        <v/>
      </c>
      <c r="C253" s="8">
        <f>IF($A253="","",IFERROR(INDEX('ABC Analysis'!$F:$F,MATCH($A253,'ABC Analysis'!$A:$A,0)),""))</f>
        <v/>
      </c>
      <c r="D253" s="8">
        <f>IF($C253="","",IF($C253="A",$K$1,IF($C253="B",$M$1,$O$1)))</f>
        <v/>
      </c>
      <c r="E253" s="12" t="n"/>
      <c r="F253" s="13">
        <f>IF(OR($A253="",$E253=""),"",$E253+$D253)</f>
        <v/>
      </c>
      <c r="G253" s="8">
        <f>IF($F253="","",IF($F253&lt;TODAY(),"OVERDUE","ON TRACK"))</f>
        <v/>
      </c>
      <c r="H253" s="8">
        <f>IF($A253="","",IF(COUNTIFS('Blind Count Entry'!$C:$C,$A253,'Blind Count Entry'!$B:$B,"&gt;="&amp;DATE(YEAR(TODAY()),MONTH(TODAY()),1),'Blind Count Entry'!$B:$B,"&lt;="&amp;EOMONTH(TODAY(),0))&gt;0,"YES","NO"))</f>
        <v/>
      </c>
    </row>
    <row r="254">
      <c r="A254" s="8">
        <f>IF('Master Inventory'!A252="","",'Master Inventory'!A252)</f>
        <v/>
      </c>
      <c r="B254" s="8">
        <f>IF($A254="","",INDEX('Master Inventory'!$B:$B,MATCH($A254,'Master Inventory'!$A:$A,0)))</f>
        <v/>
      </c>
      <c r="C254" s="8">
        <f>IF($A254="","",IFERROR(INDEX('ABC Analysis'!$F:$F,MATCH($A254,'ABC Analysis'!$A:$A,0)),""))</f>
        <v/>
      </c>
      <c r="D254" s="8">
        <f>IF($C254="","",IF($C254="A",$K$1,IF($C254="B",$M$1,$O$1)))</f>
        <v/>
      </c>
      <c r="E254" s="12" t="n"/>
      <c r="F254" s="13">
        <f>IF(OR($A254="",$E254=""),"",$E254+$D254)</f>
        <v/>
      </c>
      <c r="G254" s="8">
        <f>IF($F254="","",IF($F254&lt;TODAY(),"OVERDUE","ON TRACK"))</f>
        <v/>
      </c>
      <c r="H254" s="8">
        <f>IF($A254="","",IF(COUNTIFS('Blind Count Entry'!$C:$C,$A254,'Blind Count Entry'!$B:$B,"&gt;="&amp;DATE(YEAR(TODAY()),MONTH(TODAY()),1),'Blind Count Entry'!$B:$B,"&lt;="&amp;EOMONTH(TODAY(),0))&gt;0,"YES","NO"))</f>
        <v/>
      </c>
    </row>
    <row r="255">
      <c r="A255" s="8">
        <f>IF('Master Inventory'!A253="","",'Master Inventory'!A253)</f>
        <v/>
      </c>
      <c r="B255" s="8">
        <f>IF($A255="","",INDEX('Master Inventory'!$B:$B,MATCH($A255,'Master Inventory'!$A:$A,0)))</f>
        <v/>
      </c>
      <c r="C255" s="8">
        <f>IF($A255="","",IFERROR(INDEX('ABC Analysis'!$F:$F,MATCH($A255,'ABC Analysis'!$A:$A,0)),""))</f>
        <v/>
      </c>
      <c r="D255" s="8">
        <f>IF($C255="","",IF($C255="A",$K$1,IF($C255="B",$M$1,$O$1)))</f>
        <v/>
      </c>
      <c r="E255" s="12" t="n"/>
      <c r="F255" s="13">
        <f>IF(OR($A255="",$E255=""),"",$E255+$D255)</f>
        <v/>
      </c>
      <c r="G255" s="8">
        <f>IF($F255="","",IF($F255&lt;TODAY(),"OVERDUE","ON TRACK"))</f>
        <v/>
      </c>
      <c r="H255" s="8">
        <f>IF($A255="","",IF(COUNTIFS('Blind Count Entry'!$C:$C,$A255,'Blind Count Entry'!$B:$B,"&gt;="&amp;DATE(YEAR(TODAY()),MONTH(TODAY()),1),'Blind Count Entry'!$B:$B,"&lt;="&amp;EOMONTH(TODAY(),0))&gt;0,"YES","NO"))</f>
        <v/>
      </c>
    </row>
    <row r="256">
      <c r="A256" s="8">
        <f>IF('Master Inventory'!A254="","",'Master Inventory'!A254)</f>
        <v/>
      </c>
      <c r="B256" s="8">
        <f>IF($A256="","",INDEX('Master Inventory'!$B:$B,MATCH($A256,'Master Inventory'!$A:$A,0)))</f>
        <v/>
      </c>
      <c r="C256" s="8">
        <f>IF($A256="","",IFERROR(INDEX('ABC Analysis'!$F:$F,MATCH($A256,'ABC Analysis'!$A:$A,0)),""))</f>
        <v/>
      </c>
      <c r="D256" s="8">
        <f>IF($C256="","",IF($C256="A",$K$1,IF($C256="B",$M$1,$O$1)))</f>
        <v/>
      </c>
      <c r="E256" s="12" t="n"/>
      <c r="F256" s="13">
        <f>IF(OR($A256="",$E256=""),"",$E256+$D256)</f>
        <v/>
      </c>
      <c r="G256" s="8">
        <f>IF($F256="","",IF($F256&lt;TODAY(),"OVERDUE","ON TRACK"))</f>
        <v/>
      </c>
      <c r="H256" s="8">
        <f>IF($A256="","",IF(COUNTIFS('Blind Count Entry'!$C:$C,$A256,'Blind Count Entry'!$B:$B,"&gt;="&amp;DATE(YEAR(TODAY()),MONTH(TODAY()),1),'Blind Count Entry'!$B:$B,"&lt;="&amp;EOMONTH(TODAY(),0))&gt;0,"YES","NO"))</f>
        <v/>
      </c>
    </row>
    <row r="257">
      <c r="A257" s="8">
        <f>IF('Master Inventory'!A255="","",'Master Inventory'!A255)</f>
        <v/>
      </c>
      <c r="B257" s="8">
        <f>IF($A257="","",INDEX('Master Inventory'!$B:$B,MATCH($A257,'Master Inventory'!$A:$A,0)))</f>
        <v/>
      </c>
      <c r="C257" s="8">
        <f>IF($A257="","",IFERROR(INDEX('ABC Analysis'!$F:$F,MATCH($A257,'ABC Analysis'!$A:$A,0)),""))</f>
        <v/>
      </c>
      <c r="D257" s="8">
        <f>IF($C257="","",IF($C257="A",$K$1,IF($C257="B",$M$1,$O$1)))</f>
        <v/>
      </c>
      <c r="E257" s="12" t="n"/>
      <c r="F257" s="13">
        <f>IF(OR($A257="",$E257=""),"",$E257+$D257)</f>
        <v/>
      </c>
      <c r="G257" s="8">
        <f>IF($F257="","",IF($F257&lt;TODAY(),"OVERDUE","ON TRACK"))</f>
        <v/>
      </c>
      <c r="H257" s="8">
        <f>IF($A257="","",IF(COUNTIFS('Blind Count Entry'!$C:$C,$A257,'Blind Count Entry'!$B:$B,"&gt;="&amp;DATE(YEAR(TODAY()),MONTH(TODAY()),1),'Blind Count Entry'!$B:$B,"&lt;="&amp;EOMONTH(TODAY(),0))&gt;0,"YES","NO"))</f>
        <v/>
      </c>
    </row>
    <row r="258">
      <c r="A258" s="8">
        <f>IF('Master Inventory'!A256="","",'Master Inventory'!A256)</f>
        <v/>
      </c>
      <c r="B258" s="8">
        <f>IF($A258="","",INDEX('Master Inventory'!$B:$B,MATCH($A258,'Master Inventory'!$A:$A,0)))</f>
        <v/>
      </c>
      <c r="C258" s="8">
        <f>IF($A258="","",IFERROR(INDEX('ABC Analysis'!$F:$F,MATCH($A258,'ABC Analysis'!$A:$A,0)),""))</f>
        <v/>
      </c>
      <c r="D258" s="8">
        <f>IF($C258="","",IF($C258="A",$K$1,IF($C258="B",$M$1,$O$1)))</f>
        <v/>
      </c>
      <c r="E258" s="12" t="n"/>
      <c r="F258" s="13">
        <f>IF(OR($A258="",$E258=""),"",$E258+$D258)</f>
        <v/>
      </c>
      <c r="G258" s="8">
        <f>IF($F258="","",IF($F258&lt;TODAY(),"OVERDUE","ON TRACK"))</f>
        <v/>
      </c>
      <c r="H258" s="8">
        <f>IF($A258="","",IF(COUNTIFS('Blind Count Entry'!$C:$C,$A258,'Blind Count Entry'!$B:$B,"&gt;="&amp;DATE(YEAR(TODAY()),MONTH(TODAY()),1),'Blind Count Entry'!$B:$B,"&lt;="&amp;EOMONTH(TODAY(),0))&gt;0,"YES","NO"))</f>
        <v/>
      </c>
    </row>
    <row r="259">
      <c r="A259" s="8">
        <f>IF('Master Inventory'!A257="","",'Master Inventory'!A257)</f>
        <v/>
      </c>
      <c r="B259" s="8">
        <f>IF($A259="","",INDEX('Master Inventory'!$B:$B,MATCH($A259,'Master Inventory'!$A:$A,0)))</f>
        <v/>
      </c>
      <c r="C259" s="8">
        <f>IF($A259="","",IFERROR(INDEX('ABC Analysis'!$F:$F,MATCH($A259,'ABC Analysis'!$A:$A,0)),""))</f>
        <v/>
      </c>
      <c r="D259" s="8">
        <f>IF($C259="","",IF($C259="A",$K$1,IF($C259="B",$M$1,$O$1)))</f>
        <v/>
      </c>
      <c r="E259" s="12" t="n"/>
      <c r="F259" s="13">
        <f>IF(OR($A259="",$E259=""),"",$E259+$D259)</f>
        <v/>
      </c>
      <c r="G259" s="8">
        <f>IF($F259="","",IF($F259&lt;TODAY(),"OVERDUE","ON TRACK"))</f>
        <v/>
      </c>
      <c r="H259" s="8">
        <f>IF($A259="","",IF(COUNTIFS('Blind Count Entry'!$C:$C,$A259,'Blind Count Entry'!$B:$B,"&gt;="&amp;DATE(YEAR(TODAY()),MONTH(TODAY()),1),'Blind Count Entry'!$B:$B,"&lt;="&amp;EOMONTH(TODAY(),0))&gt;0,"YES","NO"))</f>
        <v/>
      </c>
    </row>
    <row r="260">
      <c r="A260" s="8">
        <f>IF('Master Inventory'!A258="","",'Master Inventory'!A258)</f>
        <v/>
      </c>
      <c r="B260" s="8">
        <f>IF($A260="","",INDEX('Master Inventory'!$B:$B,MATCH($A260,'Master Inventory'!$A:$A,0)))</f>
        <v/>
      </c>
      <c r="C260" s="8">
        <f>IF($A260="","",IFERROR(INDEX('ABC Analysis'!$F:$F,MATCH($A260,'ABC Analysis'!$A:$A,0)),""))</f>
        <v/>
      </c>
      <c r="D260" s="8">
        <f>IF($C260="","",IF($C260="A",$K$1,IF($C260="B",$M$1,$O$1)))</f>
        <v/>
      </c>
      <c r="E260" s="12" t="n"/>
      <c r="F260" s="13">
        <f>IF(OR($A260="",$E260=""),"",$E260+$D260)</f>
        <v/>
      </c>
      <c r="G260" s="8">
        <f>IF($F260="","",IF($F260&lt;TODAY(),"OVERDUE","ON TRACK"))</f>
        <v/>
      </c>
      <c r="H260" s="8">
        <f>IF($A260="","",IF(COUNTIFS('Blind Count Entry'!$C:$C,$A260,'Blind Count Entry'!$B:$B,"&gt;="&amp;DATE(YEAR(TODAY()),MONTH(TODAY()),1),'Blind Count Entry'!$B:$B,"&lt;="&amp;EOMONTH(TODAY(),0))&gt;0,"YES","NO"))</f>
        <v/>
      </c>
    </row>
    <row r="261">
      <c r="A261" s="8">
        <f>IF('Master Inventory'!A259="","",'Master Inventory'!A259)</f>
        <v/>
      </c>
      <c r="B261" s="8">
        <f>IF($A261="","",INDEX('Master Inventory'!$B:$B,MATCH($A261,'Master Inventory'!$A:$A,0)))</f>
        <v/>
      </c>
      <c r="C261" s="8">
        <f>IF($A261="","",IFERROR(INDEX('ABC Analysis'!$F:$F,MATCH($A261,'ABC Analysis'!$A:$A,0)),""))</f>
        <v/>
      </c>
      <c r="D261" s="8">
        <f>IF($C261="","",IF($C261="A",$K$1,IF($C261="B",$M$1,$O$1)))</f>
        <v/>
      </c>
      <c r="E261" s="12" t="n"/>
      <c r="F261" s="13">
        <f>IF(OR($A261="",$E261=""),"",$E261+$D261)</f>
        <v/>
      </c>
      <c r="G261" s="8">
        <f>IF($F261="","",IF($F261&lt;TODAY(),"OVERDUE","ON TRACK"))</f>
        <v/>
      </c>
      <c r="H261" s="8">
        <f>IF($A261="","",IF(COUNTIFS('Blind Count Entry'!$C:$C,$A261,'Blind Count Entry'!$B:$B,"&gt;="&amp;DATE(YEAR(TODAY()),MONTH(TODAY()),1),'Blind Count Entry'!$B:$B,"&lt;="&amp;EOMONTH(TODAY(),0))&gt;0,"YES","NO"))</f>
        <v/>
      </c>
    </row>
    <row r="262">
      <c r="A262" s="8">
        <f>IF('Master Inventory'!A260="","",'Master Inventory'!A260)</f>
        <v/>
      </c>
      <c r="B262" s="8">
        <f>IF($A262="","",INDEX('Master Inventory'!$B:$B,MATCH($A262,'Master Inventory'!$A:$A,0)))</f>
        <v/>
      </c>
      <c r="C262" s="8">
        <f>IF($A262="","",IFERROR(INDEX('ABC Analysis'!$F:$F,MATCH($A262,'ABC Analysis'!$A:$A,0)),""))</f>
        <v/>
      </c>
      <c r="D262" s="8">
        <f>IF($C262="","",IF($C262="A",$K$1,IF($C262="B",$M$1,$O$1)))</f>
        <v/>
      </c>
      <c r="E262" s="12" t="n"/>
      <c r="F262" s="13">
        <f>IF(OR($A262="",$E262=""),"",$E262+$D262)</f>
        <v/>
      </c>
      <c r="G262" s="8">
        <f>IF($F262="","",IF($F262&lt;TODAY(),"OVERDUE","ON TRACK"))</f>
        <v/>
      </c>
      <c r="H262" s="8">
        <f>IF($A262="","",IF(COUNTIFS('Blind Count Entry'!$C:$C,$A262,'Blind Count Entry'!$B:$B,"&gt;="&amp;DATE(YEAR(TODAY()),MONTH(TODAY()),1),'Blind Count Entry'!$B:$B,"&lt;="&amp;EOMONTH(TODAY(),0))&gt;0,"YES","NO"))</f>
        <v/>
      </c>
    </row>
    <row r="263">
      <c r="A263" s="8">
        <f>IF('Master Inventory'!A261="","",'Master Inventory'!A261)</f>
        <v/>
      </c>
      <c r="B263" s="8">
        <f>IF($A263="","",INDEX('Master Inventory'!$B:$B,MATCH($A263,'Master Inventory'!$A:$A,0)))</f>
        <v/>
      </c>
      <c r="C263" s="8">
        <f>IF($A263="","",IFERROR(INDEX('ABC Analysis'!$F:$F,MATCH($A263,'ABC Analysis'!$A:$A,0)),""))</f>
        <v/>
      </c>
      <c r="D263" s="8">
        <f>IF($C263="","",IF($C263="A",$K$1,IF($C263="B",$M$1,$O$1)))</f>
        <v/>
      </c>
      <c r="E263" s="12" t="n"/>
      <c r="F263" s="13">
        <f>IF(OR($A263="",$E263=""),"",$E263+$D263)</f>
        <v/>
      </c>
      <c r="G263" s="8">
        <f>IF($F263="","",IF($F263&lt;TODAY(),"OVERDUE","ON TRACK"))</f>
        <v/>
      </c>
      <c r="H263" s="8">
        <f>IF($A263="","",IF(COUNTIFS('Blind Count Entry'!$C:$C,$A263,'Blind Count Entry'!$B:$B,"&gt;="&amp;DATE(YEAR(TODAY()),MONTH(TODAY()),1),'Blind Count Entry'!$B:$B,"&lt;="&amp;EOMONTH(TODAY(),0))&gt;0,"YES","NO"))</f>
        <v/>
      </c>
    </row>
    <row r="264">
      <c r="A264" s="8">
        <f>IF('Master Inventory'!A262="","",'Master Inventory'!A262)</f>
        <v/>
      </c>
      <c r="B264" s="8">
        <f>IF($A264="","",INDEX('Master Inventory'!$B:$B,MATCH($A264,'Master Inventory'!$A:$A,0)))</f>
        <v/>
      </c>
      <c r="C264" s="8">
        <f>IF($A264="","",IFERROR(INDEX('ABC Analysis'!$F:$F,MATCH($A264,'ABC Analysis'!$A:$A,0)),""))</f>
        <v/>
      </c>
      <c r="D264" s="8">
        <f>IF($C264="","",IF($C264="A",$K$1,IF($C264="B",$M$1,$O$1)))</f>
        <v/>
      </c>
      <c r="E264" s="12" t="n"/>
      <c r="F264" s="13">
        <f>IF(OR($A264="",$E264=""),"",$E264+$D264)</f>
        <v/>
      </c>
      <c r="G264" s="8">
        <f>IF($F264="","",IF($F264&lt;TODAY(),"OVERDUE","ON TRACK"))</f>
        <v/>
      </c>
      <c r="H264" s="8">
        <f>IF($A264="","",IF(COUNTIFS('Blind Count Entry'!$C:$C,$A264,'Blind Count Entry'!$B:$B,"&gt;="&amp;DATE(YEAR(TODAY()),MONTH(TODAY()),1),'Blind Count Entry'!$B:$B,"&lt;="&amp;EOMONTH(TODAY(),0))&gt;0,"YES","NO"))</f>
        <v/>
      </c>
    </row>
    <row r="265">
      <c r="A265" s="8">
        <f>IF('Master Inventory'!A263="","",'Master Inventory'!A263)</f>
        <v/>
      </c>
      <c r="B265" s="8">
        <f>IF($A265="","",INDEX('Master Inventory'!$B:$B,MATCH($A265,'Master Inventory'!$A:$A,0)))</f>
        <v/>
      </c>
      <c r="C265" s="8">
        <f>IF($A265="","",IFERROR(INDEX('ABC Analysis'!$F:$F,MATCH($A265,'ABC Analysis'!$A:$A,0)),""))</f>
        <v/>
      </c>
      <c r="D265" s="8">
        <f>IF($C265="","",IF($C265="A",$K$1,IF($C265="B",$M$1,$O$1)))</f>
        <v/>
      </c>
      <c r="E265" s="12" t="n"/>
      <c r="F265" s="13">
        <f>IF(OR($A265="",$E265=""),"",$E265+$D265)</f>
        <v/>
      </c>
      <c r="G265" s="8">
        <f>IF($F265="","",IF($F265&lt;TODAY(),"OVERDUE","ON TRACK"))</f>
        <v/>
      </c>
      <c r="H265" s="8">
        <f>IF($A265="","",IF(COUNTIFS('Blind Count Entry'!$C:$C,$A265,'Blind Count Entry'!$B:$B,"&gt;="&amp;DATE(YEAR(TODAY()),MONTH(TODAY()),1),'Blind Count Entry'!$B:$B,"&lt;="&amp;EOMONTH(TODAY(),0))&gt;0,"YES","NO"))</f>
        <v/>
      </c>
    </row>
    <row r="266">
      <c r="A266" s="8">
        <f>IF('Master Inventory'!A264="","",'Master Inventory'!A264)</f>
        <v/>
      </c>
      <c r="B266" s="8">
        <f>IF($A266="","",INDEX('Master Inventory'!$B:$B,MATCH($A266,'Master Inventory'!$A:$A,0)))</f>
        <v/>
      </c>
      <c r="C266" s="8">
        <f>IF($A266="","",IFERROR(INDEX('ABC Analysis'!$F:$F,MATCH($A266,'ABC Analysis'!$A:$A,0)),""))</f>
        <v/>
      </c>
      <c r="D266" s="8">
        <f>IF($C266="","",IF($C266="A",$K$1,IF($C266="B",$M$1,$O$1)))</f>
        <v/>
      </c>
      <c r="E266" s="12" t="n"/>
      <c r="F266" s="13">
        <f>IF(OR($A266="",$E266=""),"",$E266+$D266)</f>
        <v/>
      </c>
      <c r="G266" s="8">
        <f>IF($F266="","",IF($F266&lt;TODAY(),"OVERDUE","ON TRACK"))</f>
        <v/>
      </c>
      <c r="H266" s="8">
        <f>IF($A266="","",IF(COUNTIFS('Blind Count Entry'!$C:$C,$A266,'Blind Count Entry'!$B:$B,"&gt;="&amp;DATE(YEAR(TODAY()),MONTH(TODAY()),1),'Blind Count Entry'!$B:$B,"&lt;="&amp;EOMONTH(TODAY(),0))&gt;0,"YES","NO"))</f>
        <v/>
      </c>
    </row>
    <row r="267">
      <c r="A267" s="8">
        <f>IF('Master Inventory'!A265="","",'Master Inventory'!A265)</f>
        <v/>
      </c>
      <c r="B267" s="8">
        <f>IF($A267="","",INDEX('Master Inventory'!$B:$B,MATCH($A267,'Master Inventory'!$A:$A,0)))</f>
        <v/>
      </c>
      <c r="C267" s="8">
        <f>IF($A267="","",IFERROR(INDEX('ABC Analysis'!$F:$F,MATCH($A267,'ABC Analysis'!$A:$A,0)),""))</f>
        <v/>
      </c>
      <c r="D267" s="8">
        <f>IF($C267="","",IF($C267="A",$K$1,IF($C267="B",$M$1,$O$1)))</f>
        <v/>
      </c>
      <c r="E267" s="12" t="n"/>
      <c r="F267" s="13">
        <f>IF(OR($A267="",$E267=""),"",$E267+$D267)</f>
        <v/>
      </c>
      <c r="G267" s="8">
        <f>IF($F267="","",IF($F267&lt;TODAY(),"OVERDUE","ON TRACK"))</f>
        <v/>
      </c>
      <c r="H267" s="8">
        <f>IF($A267="","",IF(COUNTIFS('Blind Count Entry'!$C:$C,$A267,'Blind Count Entry'!$B:$B,"&gt;="&amp;DATE(YEAR(TODAY()),MONTH(TODAY()),1),'Blind Count Entry'!$B:$B,"&lt;="&amp;EOMONTH(TODAY(),0))&gt;0,"YES","NO"))</f>
        <v/>
      </c>
    </row>
    <row r="268">
      <c r="A268" s="8">
        <f>IF('Master Inventory'!A266="","",'Master Inventory'!A266)</f>
        <v/>
      </c>
      <c r="B268" s="8">
        <f>IF($A268="","",INDEX('Master Inventory'!$B:$B,MATCH($A268,'Master Inventory'!$A:$A,0)))</f>
        <v/>
      </c>
      <c r="C268" s="8">
        <f>IF($A268="","",IFERROR(INDEX('ABC Analysis'!$F:$F,MATCH($A268,'ABC Analysis'!$A:$A,0)),""))</f>
        <v/>
      </c>
      <c r="D268" s="8">
        <f>IF($C268="","",IF($C268="A",$K$1,IF($C268="B",$M$1,$O$1)))</f>
        <v/>
      </c>
      <c r="E268" s="12" t="n"/>
      <c r="F268" s="13">
        <f>IF(OR($A268="",$E268=""),"",$E268+$D268)</f>
        <v/>
      </c>
      <c r="G268" s="8">
        <f>IF($F268="","",IF($F268&lt;TODAY(),"OVERDUE","ON TRACK"))</f>
        <v/>
      </c>
      <c r="H268" s="8">
        <f>IF($A268="","",IF(COUNTIFS('Blind Count Entry'!$C:$C,$A268,'Blind Count Entry'!$B:$B,"&gt;="&amp;DATE(YEAR(TODAY()),MONTH(TODAY()),1),'Blind Count Entry'!$B:$B,"&lt;="&amp;EOMONTH(TODAY(),0))&gt;0,"YES","NO"))</f>
        <v/>
      </c>
    </row>
    <row r="269">
      <c r="A269" s="8">
        <f>IF('Master Inventory'!A267="","",'Master Inventory'!A267)</f>
        <v/>
      </c>
      <c r="B269" s="8">
        <f>IF($A269="","",INDEX('Master Inventory'!$B:$B,MATCH($A269,'Master Inventory'!$A:$A,0)))</f>
        <v/>
      </c>
      <c r="C269" s="8">
        <f>IF($A269="","",IFERROR(INDEX('ABC Analysis'!$F:$F,MATCH($A269,'ABC Analysis'!$A:$A,0)),""))</f>
        <v/>
      </c>
      <c r="D269" s="8">
        <f>IF($C269="","",IF($C269="A",$K$1,IF($C269="B",$M$1,$O$1)))</f>
        <v/>
      </c>
      <c r="E269" s="12" t="n"/>
      <c r="F269" s="13">
        <f>IF(OR($A269="",$E269=""),"",$E269+$D269)</f>
        <v/>
      </c>
      <c r="G269" s="8">
        <f>IF($F269="","",IF($F269&lt;TODAY(),"OVERDUE","ON TRACK"))</f>
        <v/>
      </c>
      <c r="H269" s="8">
        <f>IF($A269="","",IF(COUNTIFS('Blind Count Entry'!$C:$C,$A269,'Blind Count Entry'!$B:$B,"&gt;="&amp;DATE(YEAR(TODAY()),MONTH(TODAY()),1),'Blind Count Entry'!$B:$B,"&lt;="&amp;EOMONTH(TODAY(),0))&gt;0,"YES","NO"))</f>
        <v/>
      </c>
    </row>
    <row r="270">
      <c r="A270" s="8">
        <f>IF('Master Inventory'!A268="","",'Master Inventory'!A268)</f>
        <v/>
      </c>
      <c r="B270" s="8">
        <f>IF($A270="","",INDEX('Master Inventory'!$B:$B,MATCH($A270,'Master Inventory'!$A:$A,0)))</f>
        <v/>
      </c>
      <c r="C270" s="8">
        <f>IF($A270="","",IFERROR(INDEX('ABC Analysis'!$F:$F,MATCH($A270,'ABC Analysis'!$A:$A,0)),""))</f>
        <v/>
      </c>
      <c r="D270" s="8">
        <f>IF($C270="","",IF($C270="A",$K$1,IF($C270="B",$M$1,$O$1)))</f>
        <v/>
      </c>
      <c r="E270" s="12" t="n"/>
      <c r="F270" s="13">
        <f>IF(OR($A270="",$E270=""),"",$E270+$D270)</f>
        <v/>
      </c>
      <c r="G270" s="8">
        <f>IF($F270="","",IF($F270&lt;TODAY(),"OVERDUE","ON TRACK"))</f>
        <v/>
      </c>
      <c r="H270" s="8">
        <f>IF($A270="","",IF(COUNTIFS('Blind Count Entry'!$C:$C,$A270,'Blind Count Entry'!$B:$B,"&gt;="&amp;DATE(YEAR(TODAY()),MONTH(TODAY()),1),'Blind Count Entry'!$B:$B,"&lt;="&amp;EOMONTH(TODAY(),0))&gt;0,"YES","NO"))</f>
        <v/>
      </c>
    </row>
    <row r="271">
      <c r="A271" s="8">
        <f>IF('Master Inventory'!A269="","",'Master Inventory'!A269)</f>
        <v/>
      </c>
      <c r="B271" s="8">
        <f>IF($A271="","",INDEX('Master Inventory'!$B:$B,MATCH($A271,'Master Inventory'!$A:$A,0)))</f>
        <v/>
      </c>
      <c r="C271" s="8">
        <f>IF($A271="","",IFERROR(INDEX('ABC Analysis'!$F:$F,MATCH($A271,'ABC Analysis'!$A:$A,0)),""))</f>
        <v/>
      </c>
      <c r="D271" s="8">
        <f>IF($C271="","",IF($C271="A",$K$1,IF($C271="B",$M$1,$O$1)))</f>
        <v/>
      </c>
      <c r="E271" s="12" t="n"/>
      <c r="F271" s="13">
        <f>IF(OR($A271="",$E271=""),"",$E271+$D271)</f>
        <v/>
      </c>
      <c r="G271" s="8">
        <f>IF($F271="","",IF($F271&lt;TODAY(),"OVERDUE","ON TRACK"))</f>
        <v/>
      </c>
      <c r="H271" s="8">
        <f>IF($A271="","",IF(COUNTIFS('Blind Count Entry'!$C:$C,$A271,'Blind Count Entry'!$B:$B,"&gt;="&amp;DATE(YEAR(TODAY()),MONTH(TODAY()),1),'Blind Count Entry'!$B:$B,"&lt;="&amp;EOMONTH(TODAY(),0))&gt;0,"YES","NO"))</f>
        <v/>
      </c>
    </row>
    <row r="272">
      <c r="A272" s="8">
        <f>IF('Master Inventory'!A270="","",'Master Inventory'!A270)</f>
        <v/>
      </c>
      <c r="B272" s="8">
        <f>IF($A272="","",INDEX('Master Inventory'!$B:$B,MATCH($A272,'Master Inventory'!$A:$A,0)))</f>
        <v/>
      </c>
      <c r="C272" s="8">
        <f>IF($A272="","",IFERROR(INDEX('ABC Analysis'!$F:$F,MATCH($A272,'ABC Analysis'!$A:$A,0)),""))</f>
        <v/>
      </c>
      <c r="D272" s="8">
        <f>IF($C272="","",IF($C272="A",$K$1,IF($C272="B",$M$1,$O$1)))</f>
        <v/>
      </c>
      <c r="E272" s="12" t="n"/>
      <c r="F272" s="13">
        <f>IF(OR($A272="",$E272=""),"",$E272+$D272)</f>
        <v/>
      </c>
      <c r="G272" s="8">
        <f>IF($F272="","",IF($F272&lt;TODAY(),"OVERDUE","ON TRACK"))</f>
        <v/>
      </c>
      <c r="H272" s="8">
        <f>IF($A272="","",IF(COUNTIFS('Blind Count Entry'!$C:$C,$A272,'Blind Count Entry'!$B:$B,"&gt;="&amp;DATE(YEAR(TODAY()),MONTH(TODAY()),1),'Blind Count Entry'!$B:$B,"&lt;="&amp;EOMONTH(TODAY(),0))&gt;0,"YES","NO"))</f>
        <v/>
      </c>
    </row>
    <row r="273">
      <c r="A273" s="8">
        <f>IF('Master Inventory'!A271="","",'Master Inventory'!A271)</f>
        <v/>
      </c>
      <c r="B273" s="8">
        <f>IF($A273="","",INDEX('Master Inventory'!$B:$B,MATCH($A273,'Master Inventory'!$A:$A,0)))</f>
        <v/>
      </c>
      <c r="C273" s="8">
        <f>IF($A273="","",IFERROR(INDEX('ABC Analysis'!$F:$F,MATCH($A273,'ABC Analysis'!$A:$A,0)),""))</f>
        <v/>
      </c>
      <c r="D273" s="8">
        <f>IF($C273="","",IF($C273="A",$K$1,IF($C273="B",$M$1,$O$1)))</f>
        <v/>
      </c>
      <c r="E273" s="12" t="n"/>
      <c r="F273" s="13">
        <f>IF(OR($A273="",$E273=""),"",$E273+$D273)</f>
        <v/>
      </c>
      <c r="G273" s="8">
        <f>IF($F273="","",IF($F273&lt;TODAY(),"OVERDUE","ON TRACK"))</f>
        <v/>
      </c>
      <c r="H273" s="8">
        <f>IF($A273="","",IF(COUNTIFS('Blind Count Entry'!$C:$C,$A273,'Blind Count Entry'!$B:$B,"&gt;="&amp;DATE(YEAR(TODAY()),MONTH(TODAY()),1),'Blind Count Entry'!$B:$B,"&lt;="&amp;EOMONTH(TODAY(),0))&gt;0,"YES","NO"))</f>
        <v/>
      </c>
    </row>
    <row r="274">
      <c r="A274" s="8">
        <f>IF('Master Inventory'!A272="","",'Master Inventory'!A272)</f>
        <v/>
      </c>
      <c r="B274" s="8">
        <f>IF($A274="","",INDEX('Master Inventory'!$B:$B,MATCH($A274,'Master Inventory'!$A:$A,0)))</f>
        <v/>
      </c>
      <c r="C274" s="8">
        <f>IF($A274="","",IFERROR(INDEX('ABC Analysis'!$F:$F,MATCH($A274,'ABC Analysis'!$A:$A,0)),""))</f>
        <v/>
      </c>
      <c r="D274" s="8">
        <f>IF($C274="","",IF($C274="A",$K$1,IF($C274="B",$M$1,$O$1)))</f>
        <v/>
      </c>
      <c r="E274" s="12" t="n"/>
      <c r="F274" s="13">
        <f>IF(OR($A274="",$E274=""),"",$E274+$D274)</f>
        <v/>
      </c>
      <c r="G274" s="8">
        <f>IF($F274="","",IF($F274&lt;TODAY(),"OVERDUE","ON TRACK"))</f>
        <v/>
      </c>
      <c r="H274" s="8">
        <f>IF($A274="","",IF(COUNTIFS('Blind Count Entry'!$C:$C,$A274,'Blind Count Entry'!$B:$B,"&gt;="&amp;DATE(YEAR(TODAY()),MONTH(TODAY()),1),'Blind Count Entry'!$B:$B,"&lt;="&amp;EOMONTH(TODAY(),0))&gt;0,"YES","NO"))</f>
        <v/>
      </c>
    </row>
    <row r="275">
      <c r="A275" s="8">
        <f>IF('Master Inventory'!A273="","",'Master Inventory'!A273)</f>
        <v/>
      </c>
      <c r="B275" s="8">
        <f>IF($A275="","",INDEX('Master Inventory'!$B:$B,MATCH($A275,'Master Inventory'!$A:$A,0)))</f>
        <v/>
      </c>
      <c r="C275" s="8">
        <f>IF($A275="","",IFERROR(INDEX('ABC Analysis'!$F:$F,MATCH($A275,'ABC Analysis'!$A:$A,0)),""))</f>
        <v/>
      </c>
      <c r="D275" s="8">
        <f>IF($C275="","",IF($C275="A",$K$1,IF($C275="B",$M$1,$O$1)))</f>
        <v/>
      </c>
      <c r="E275" s="12" t="n"/>
      <c r="F275" s="13">
        <f>IF(OR($A275="",$E275=""),"",$E275+$D275)</f>
        <v/>
      </c>
      <c r="G275" s="8">
        <f>IF($F275="","",IF($F275&lt;TODAY(),"OVERDUE","ON TRACK"))</f>
        <v/>
      </c>
      <c r="H275" s="8">
        <f>IF($A275="","",IF(COUNTIFS('Blind Count Entry'!$C:$C,$A275,'Blind Count Entry'!$B:$B,"&gt;="&amp;DATE(YEAR(TODAY()),MONTH(TODAY()),1),'Blind Count Entry'!$B:$B,"&lt;="&amp;EOMONTH(TODAY(),0))&gt;0,"YES","NO"))</f>
        <v/>
      </c>
    </row>
    <row r="276">
      <c r="A276" s="8">
        <f>IF('Master Inventory'!A274="","",'Master Inventory'!A274)</f>
        <v/>
      </c>
      <c r="B276" s="8">
        <f>IF($A276="","",INDEX('Master Inventory'!$B:$B,MATCH($A276,'Master Inventory'!$A:$A,0)))</f>
        <v/>
      </c>
      <c r="C276" s="8">
        <f>IF($A276="","",IFERROR(INDEX('ABC Analysis'!$F:$F,MATCH($A276,'ABC Analysis'!$A:$A,0)),""))</f>
        <v/>
      </c>
      <c r="D276" s="8">
        <f>IF($C276="","",IF($C276="A",$K$1,IF($C276="B",$M$1,$O$1)))</f>
        <v/>
      </c>
      <c r="E276" s="12" t="n"/>
      <c r="F276" s="13">
        <f>IF(OR($A276="",$E276=""),"",$E276+$D276)</f>
        <v/>
      </c>
      <c r="G276" s="8">
        <f>IF($F276="","",IF($F276&lt;TODAY(),"OVERDUE","ON TRACK"))</f>
        <v/>
      </c>
      <c r="H276" s="8">
        <f>IF($A276="","",IF(COUNTIFS('Blind Count Entry'!$C:$C,$A276,'Blind Count Entry'!$B:$B,"&gt;="&amp;DATE(YEAR(TODAY()),MONTH(TODAY()),1),'Blind Count Entry'!$B:$B,"&lt;="&amp;EOMONTH(TODAY(),0))&gt;0,"YES","NO"))</f>
        <v/>
      </c>
    </row>
    <row r="277">
      <c r="A277" s="8">
        <f>IF('Master Inventory'!A275="","",'Master Inventory'!A275)</f>
        <v/>
      </c>
      <c r="B277" s="8">
        <f>IF($A277="","",INDEX('Master Inventory'!$B:$B,MATCH($A277,'Master Inventory'!$A:$A,0)))</f>
        <v/>
      </c>
      <c r="C277" s="8">
        <f>IF($A277="","",IFERROR(INDEX('ABC Analysis'!$F:$F,MATCH($A277,'ABC Analysis'!$A:$A,0)),""))</f>
        <v/>
      </c>
      <c r="D277" s="8">
        <f>IF($C277="","",IF($C277="A",$K$1,IF($C277="B",$M$1,$O$1)))</f>
        <v/>
      </c>
      <c r="E277" s="12" t="n"/>
      <c r="F277" s="13">
        <f>IF(OR($A277="",$E277=""),"",$E277+$D277)</f>
        <v/>
      </c>
      <c r="G277" s="8">
        <f>IF($F277="","",IF($F277&lt;TODAY(),"OVERDUE","ON TRACK"))</f>
        <v/>
      </c>
      <c r="H277" s="8">
        <f>IF($A277="","",IF(COUNTIFS('Blind Count Entry'!$C:$C,$A277,'Blind Count Entry'!$B:$B,"&gt;="&amp;DATE(YEAR(TODAY()),MONTH(TODAY()),1),'Blind Count Entry'!$B:$B,"&lt;="&amp;EOMONTH(TODAY(),0))&gt;0,"YES","NO"))</f>
        <v/>
      </c>
    </row>
    <row r="278">
      <c r="A278" s="8">
        <f>IF('Master Inventory'!A276="","",'Master Inventory'!A276)</f>
        <v/>
      </c>
      <c r="B278" s="8">
        <f>IF($A278="","",INDEX('Master Inventory'!$B:$B,MATCH($A278,'Master Inventory'!$A:$A,0)))</f>
        <v/>
      </c>
      <c r="C278" s="8">
        <f>IF($A278="","",IFERROR(INDEX('ABC Analysis'!$F:$F,MATCH($A278,'ABC Analysis'!$A:$A,0)),""))</f>
        <v/>
      </c>
      <c r="D278" s="8">
        <f>IF($C278="","",IF($C278="A",$K$1,IF($C278="B",$M$1,$O$1)))</f>
        <v/>
      </c>
      <c r="E278" s="12" t="n"/>
      <c r="F278" s="13">
        <f>IF(OR($A278="",$E278=""),"",$E278+$D278)</f>
        <v/>
      </c>
      <c r="G278" s="8">
        <f>IF($F278="","",IF($F278&lt;TODAY(),"OVERDUE","ON TRACK"))</f>
        <v/>
      </c>
      <c r="H278" s="8">
        <f>IF($A278="","",IF(COUNTIFS('Blind Count Entry'!$C:$C,$A278,'Blind Count Entry'!$B:$B,"&gt;="&amp;DATE(YEAR(TODAY()),MONTH(TODAY()),1),'Blind Count Entry'!$B:$B,"&lt;="&amp;EOMONTH(TODAY(),0))&gt;0,"YES","NO"))</f>
        <v/>
      </c>
    </row>
    <row r="279">
      <c r="A279" s="8">
        <f>IF('Master Inventory'!A277="","",'Master Inventory'!A277)</f>
        <v/>
      </c>
      <c r="B279" s="8">
        <f>IF($A279="","",INDEX('Master Inventory'!$B:$B,MATCH($A279,'Master Inventory'!$A:$A,0)))</f>
        <v/>
      </c>
      <c r="C279" s="8">
        <f>IF($A279="","",IFERROR(INDEX('ABC Analysis'!$F:$F,MATCH($A279,'ABC Analysis'!$A:$A,0)),""))</f>
        <v/>
      </c>
      <c r="D279" s="8">
        <f>IF($C279="","",IF($C279="A",$K$1,IF($C279="B",$M$1,$O$1)))</f>
        <v/>
      </c>
      <c r="E279" s="12" t="n"/>
      <c r="F279" s="13">
        <f>IF(OR($A279="",$E279=""),"",$E279+$D279)</f>
        <v/>
      </c>
      <c r="G279" s="8">
        <f>IF($F279="","",IF($F279&lt;TODAY(),"OVERDUE","ON TRACK"))</f>
        <v/>
      </c>
      <c r="H279" s="8">
        <f>IF($A279="","",IF(COUNTIFS('Blind Count Entry'!$C:$C,$A279,'Blind Count Entry'!$B:$B,"&gt;="&amp;DATE(YEAR(TODAY()),MONTH(TODAY()),1),'Blind Count Entry'!$B:$B,"&lt;="&amp;EOMONTH(TODAY(),0))&gt;0,"YES","NO"))</f>
        <v/>
      </c>
    </row>
    <row r="280">
      <c r="A280" s="8">
        <f>IF('Master Inventory'!A278="","",'Master Inventory'!A278)</f>
        <v/>
      </c>
      <c r="B280" s="8">
        <f>IF($A280="","",INDEX('Master Inventory'!$B:$B,MATCH($A280,'Master Inventory'!$A:$A,0)))</f>
        <v/>
      </c>
      <c r="C280" s="8">
        <f>IF($A280="","",IFERROR(INDEX('ABC Analysis'!$F:$F,MATCH($A280,'ABC Analysis'!$A:$A,0)),""))</f>
        <v/>
      </c>
      <c r="D280" s="8">
        <f>IF($C280="","",IF($C280="A",$K$1,IF($C280="B",$M$1,$O$1)))</f>
        <v/>
      </c>
      <c r="E280" s="12" t="n"/>
      <c r="F280" s="13">
        <f>IF(OR($A280="",$E280=""),"",$E280+$D280)</f>
        <v/>
      </c>
      <c r="G280" s="8">
        <f>IF($F280="","",IF($F280&lt;TODAY(),"OVERDUE","ON TRACK"))</f>
        <v/>
      </c>
      <c r="H280" s="8">
        <f>IF($A280="","",IF(COUNTIFS('Blind Count Entry'!$C:$C,$A280,'Blind Count Entry'!$B:$B,"&gt;="&amp;DATE(YEAR(TODAY()),MONTH(TODAY()),1),'Blind Count Entry'!$B:$B,"&lt;="&amp;EOMONTH(TODAY(),0))&gt;0,"YES","NO"))</f>
        <v/>
      </c>
    </row>
    <row r="281">
      <c r="A281" s="8">
        <f>IF('Master Inventory'!A279="","",'Master Inventory'!A279)</f>
        <v/>
      </c>
      <c r="B281" s="8">
        <f>IF($A281="","",INDEX('Master Inventory'!$B:$B,MATCH($A281,'Master Inventory'!$A:$A,0)))</f>
        <v/>
      </c>
      <c r="C281" s="8">
        <f>IF($A281="","",IFERROR(INDEX('ABC Analysis'!$F:$F,MATCH($A281,'ABC Analysis'!$A:$A,0)),""))</f>
        <v/>
      </c>
      <c r="D281" s="8">
        <f>IF($C281="","",IF($C281="A",$K$1,IF($C281="B",$M$1,$O$1)))</f>
        <v/>
      </c>
      <c r="E281" s="12" t="n"/>
      <c r="F281" s="13">
        <f>IF(OR($A281="",$E281=""),"",$E281+$D281)</f>
        <v/>
      </c>
      <c r="G281" s="8">
        <f>IF($F281="","",IF($F281&lt;TODAY(),"OVERDUE","ON TRACK"))</f>
        <v/>
      </c>
      <c r="H281" s="8">
        <f>IF($A281="","",IF(COUNTIFS('Blind Count Entry'!$C:$C,$A281,'Blind Count Entry'!$B:$B,"&gt;="&amp;DATE(YEAR(TODAY()),MONTH(TODAY()),1),'Blind Count Entry'!$B:$B,"&lt;="&amp;EOMONTH(TODAY(),0))&gt;0,"YES","NO"))</f>
        <v/>
      </c>
    </row>
    <row r="282">
      <c r="A282" s="8">
        <f>IF('Master Inventory'!A280="","",'Master Inventory'!A280)</f>
        <v/>
      </c>
      <c r="B282" s="8">
        <f>IF($A282="","",INDEX('Master Inventory'!$B:$B,MATCH($A282,'Master Inventory'!$A:$A,0)))</f>
        <v/>
      </c>
      <c r="C282" s="8">
        <f>IF($A282="","",IFERROR(INDEX('ABC Analysis'!$F:$F,MATCH($A282,'ABC Analysis'!$A:$A,0)),""))</f>
        <v/>
      </c>
      <c r="D282" s="8">
        <f>IF($C282="","",IF($C282="A",$K$1,IF($C282="B",$M$1,$O$1)))</f>
        <v/>
      </c>
      <c r="E282" s="12" t="n"/>
      <c r="F282" s="13">
        <f>IF(OR($A282="",$E282=""),"",$E282+$D282)</f>
        <v/>
      </c>
      <c r="G282" s="8">
        <f>IF($F282="","",IF($F282&lt;TODAY(),"OVERDUE","ON TRACK"))</f>
        <v/>
      </c>
      <c r="H282" s="8">
        <f>IF($A282="","",IF(COUNTIFS('Blind Count Entry'!$C:$C,$A282,'Blind Count Entry'!$B:$B,"&gt;="&amp;DATE(YEAR(TODAY()),MONTH(TODAY()),1),'Blind Count Entry'!$B:$B,"&lt;="&amp;EOMONTH(TODAY(),0))&gt;0,"YES","NO"))</f>
        <v/>
      </c>
    </row>
    <row r="283">
      <c r="A283" s="8">
        <f>IF('Master Inventory'!A281="","",'Master Inventory'!A281)</f>
        <v/>
      </c>
      <c r="B283" s="8">
        <f>IF($A283="","",INDEX('Master Inventory'!$B:$B,MATCH($A283,'Master Inventory'!$A:$A,0)))</f>
        <v/>
      </c>
      <c r="C283" s="8">
        <f>IF($A283="","",IFERROR(INDEX('ABC Analysis'!$F:$F,MATCH($A283,'ABC Analysis'!$A:$A,0)),""))</f>
        <v/>
      </c>
      <c r="D283" s="8">
        <f>IF($C283="","",IF($C283="A",$K$1,IF($C283="B",$M$1,$O$1)))</f>
        <v/>
      </c>
      <c r="E283" s="12" t="n"/>
      <c r="F283" s="13">
        <f>IF(OR($A283="",$E283=""),"",$E283+$D283)</f>
        <v/>
      </c>
      <c r="G283" s="8">
        <f>IF($F283="","",IF($F283&lt;TODAY(),"OVERDUE","ON TRACK"))</f>
        <v/>
      </c>
      <c r="H283" s="8">
        <f>IF($A283="","",IF(COUNTIFS('Blind Count Entry'!$C:$C,$A283,'Blind Count Entry'!$B:$B,"&gt;="&amp;DATE(YEAR(TODAY()),MONTH(TODAY()),1),'Blind Count Entry'!$B:$B,"&lt;="&amp;EOMONTH(TODAY(),0))&gt;0,"YES","NO"))</f>
        <v/>
      </c>
    </row>
    <row r="284">
      <c r="A284" s="8">
        <f>IF('Master Inventory'!A282="","",'Master Inventory'!A282)</f>
        <v/>
      </c>
      <c r="B284" s="8">
        <f>IF($A284="","",INDEX('Master Inventory'!$B:$B,MATCH($A284,'Master Inventory'!$A:$A,0)))</f>
        <v/>
      </c>
      <c r="C284" s="8">
        <f>IF($A284="","",IFERROR(INDEX('ABC Analysis'!$F:$F,MATCH($A284,'ABC Analysis'!$A:$A,0)),""))</f>
        <v/>
      </c>
      <c r="D284" s="8">
        <f>IF($C284="","",IF($C284="A",$K$1,IF($C284="B",$M$1,$O$1)))</f>
        <v/>
      </c>
      <c r="E284" s="12" t="n"/>
      <c r="F284" s="13">
        <f>IF(OR($A284="",$E284=""),"",$E284+$D284)</f>
        <v/>
      </c>
      <c r="G284" s="8">
        <f>IF($F284="","",IF($F284&lt;TODAY(),"OVERDUE","ON TRACK"))</f>
        <v/>
      </c>
      <c r="H284" s="8">
        <f>IF($A284="","",IF(COUNTIFS('Blind Count Entry'!$C:$C,$A284,'Blind Count Entry'!$B:$B,"&gt;="&amp;DATE(YEAR(TODAY()),MONTH(TODAY()),1),'Blind Count Entry'!$B:$B,"&lt;="&amp;EOMONTH(TODAY(),0))&gt;0,"YES","NO"))</f>
        <v/>
      </c>
    </row>
    <row r="285">
      <c r="A285" s="8">
        <f>IF('Master Inventory'!A283="","",'Master Inventory'!A283)</f>
        <v/>
      </c>
      <c r="B285" s="8">
        <f>IF($A285="","",INDEX('Master Inventory'!$B:$B,MATCH($A285,'Master Inventory'!$A:$A,0)))</f>
        <v/>
      </c>
      <c r="C285" s="8">
        <f>IF($A285="","",IFERROR(INDEX('ABC Analysis'!$F:$F,MATCH($A285,'ABC Analysis'!$A:$A,0)),""))</f>
        <v/>
      </c>
      <c r="D285" s="8">
        <f>IF($C285="","",IF($C285="A",$K$1,IF($C285="B",$M$1,$O$1)))</f>
        <v/>
      </c>
      <c r="E285" s="12" t="n"/>
      <c r="F285" s="13">
        <f>IF(OR($A285="",$E285=""),"",$E285+$D285)</f>
        <v/>
      </c>
      <c r="G285" s="8">
        <f>IF($F285="","",IF($F285&lt;TODAY(),"OVERDUE","ON TRACK"))</f>
        <v/>
      </c>
      <c r="H285" s="8">
        <f>IF($A285="","",IF(COUNTIFS('Blind Count Entry'!$C:$C,$A285,'Blind Count Entry'!$B:$B,"&gt;="&amp;DATE(YEAR(TODAY()),MONTH(TODAY()),1),'Blind Count Entry'!$B:$B,"&lt;="&amp;EOMONTH(TODAY(),0))&gt;0,"YES","NO"))</f>
        <v/>
      </c>
    </row>
    <row r="286">
      <c r="A286" s="8">
        <f>IF('Master Inventory'!A284="","",'Master Inventory'!A284)</f>
        <v/>
      </c>
      <c r="B286" s="8">
        <f>IF($A286="","",INDEX('Master Inventory'!$B:$B,MATCH($A286,'Master Inventory'!$A:$A,0)))</f>
        <v/>
      </c>
      <c r="C286" s="8">
        <f>IF($A286="","",IFERROR(INDEX('ABC Analysis'!$F:$F,MATCH($A286,'ABC Analysis'!$A:$A,0)),""))</f>
        <v/>
      </c>
      <c r="D286" s="8">
        <f>IF($C286="","",IF($C286="A",$K$1,IF($C286="B",$M$1,$O$1)))</f>
        <v/>
      </c>
      <c r="E286" s="12" t="n"/>
      <c r="F286" s="13">
        <f>IF(OR($A286="",$E286=""),"",$E286+$D286)</f>
        <v/>
      </c>
      <c r="G286" s="8">
        <f>IF($F286="","",IF($F286&lt;TODAY(),"OVERDUE","ON TRACK"))</f>
        <v/>
      </c>
      <c r="H286" s="8">
        <f>IF($A286="","",IF(COUNTIFS('Blind Count Entry'!$C:$C,$A286,'Blind Count Entry'!$B:$B,"&gt;="&amp;DATE(YEAR(TODAY()),MONTH(TODAY()),1),'Blind Count Entry'!$B:$B,"&lt;="&amp;EOMONTH(TODAY(),0))&gt;0,"YES","NO"))</f>
        <v/>
      </c>
    </row>
    <row r="287">
      <c r="A287" s="8">
        <f>IF('Master Inventory'!A285="","",'Master Inventory'!A285)</f>
        <v/>
      </c>
      <c r="B287" s="8">
        <f>IF($A287="","",INDEX('Master Inventory'!$B:$B,MATCH($A287,'Master Inventory'!$A:$A,0)))</f>
        <v/>
      </c>
      <c r="C287" s="8">
        <f>IF($A287="","",IFERROR(INDEX('ABC Analysis'!$F:$F,MATCH($A287,'ABC Analysis'!$A:$A,0)),""))</f>
        <v/>
      </c>
      <c r="D287" s="8">
        <f>IF($C287="","",IF($C287="A",$K$1,IF($C287="B",$M$1,$O$1)))</f>
        <v/>
      </c>
      <c r="E287" s="12" t="n"/>
      <c r="F287" s="13">
        <f>IF(OR($A287="",$E287=""),"",$E287+$D287)</f>
        <v/>
      </c>
      <c r="G287" s="8">
        <f>IF($F287="","",IF($F287&lt;TODAY(),"OVERDUE","ON TRACK"))</f>
        <v/>
      </c>
      <c r="H287" s="8">
        <f>IF($A287="","",IF(COUNTIFS('Blind Count Entry'!$C:$C,$A287,'Blind Count Entry'!$B:$B,"&gt;="&amp;DATE(YEAR(TODAY()),MONTH(TODAY()),1),'Blind Count Entry'!$B:$B,"&lt;="&amp;EOMONTH(TODAY(),0))&gt;0,"YES","NO"))</f>
        <v/>
      </c>
    </row>
    <row r="288">
      <c r="A288" s="8">
        <f>IF('Master Inventory'!A286="","",'Master Inventory'!A286)</f>
        <v/>
      </c>
      <c r="B288" s="8">
        <f>IF($A288="","",INDEX('Master Inventory'!$B:$B,MATCH($A288,'Master Inventory'!$A:$A,0)))</f>
        <v/>
      </c>
      <c r="C288" s="8">
        <f>IF($A288="","",IFERROR(INDEX('ABC Analysis'!$F:$F,MATCH($A288,'ABC Analysis'!$A:$A,0)),""))</f>
        <v/>
      </c>
      <c r="D288" s="8">
        <f>IF($C288="","",IF($C288="A",$K$1,IF($C288="B",$M$1,$O$1)))</f>
        <v/>
      </c>
      <c r="E288" s="12" t="n"/>
      <c r="F288" s="13">
        <f>IF(OR($A288="",$E288=""),"",$E288+$D288)</f>
        <v/>
      </c>
      <c r="G288" s="8">
        <f>IF($F288="","",IF($F288&lt;TODAY(),"OVERDUE","ON TRACK"))</f>
        <v/>
      </c>
      <c r="H288" s="8">
        <f>IF($A288="","",IF(COUNTIFS('Blind Count Entry'!$C:$C,$A288,'Blind Count Entry'!$B:$B,"&gt;="&amp;DATE(YEAR(TODAY()),MONTH(TODAY()),1),'Blind Count Entry'!$B:$B,"&lt;="&amp;EOMONTH(TODAY(),0))&gt;0,"YES","NO"))</f>
        <v/>
      </c>
    </row>
    <row r="289">
      <c r="A289" s="8">
        <f>IF('Master Inventory'!A287="","",'Master Inventory'!A287)</f>
        <v/>
      </c>
      <c r="B289" s="8">
        <f>IF($A289="","",INDEX('Master Inventory'!$B:$B,MATCH($A289,'Master Inventory'!$A:$A,0)))</f>
        <v/>
      </c>
      <c r="C289" s="8">
        <f>IF($A289="","",IFERROR(INDEX('ABC Analysis'!$F:$F,MATCH($A289,'ABC Analysis'!$A:$A,0)),""))</f>
        <v/>
      </c>
      <c r="D289" s="8">
        <f>IF($C289="","",IF($C289="A",$K$1,IF($C289="B",$M$1,$O$1)))</f>
        <v/>
      </c>
      <c r="E289" s="12" t="n"/>
      <c r="F289" s="13">
        <f>IF(OR($A289="",$E289=""),"",$E289+$D289)</f>
        <v/>
      </c>
      <c r="G289" s="8">
        <f>IF($F289="","",IF($F289&lt;TODAY(),"OVERDUE","ON TRACK"))</f>
        <v/>
      </c>
      <c r="H289" s="8">
        <f>IF($A289="","",IF(COUNTIFS('Blind Count Entry'!$C:$C,$A289,'Blind Count Entry'!$B:$B,"&gt;="&amp;DATE(YEAR(TODAY()),MONTH(TODAY()),1),'Blind Count Entry'!$B:$B,"&lt;="&amp;EOMONTH(TODAY(),0))&gt;0,"YES","NO"))</f>
        <v/>
      </c>
    </row>
    <row r="290">
      <c r="A290" s="8">
        <f>IF('Master Inventory'!A288="","",'Master Inventory'!A288)</f>
        <v/>
      </c>
      <c r="B290" s="8">
        <f>IF($A290="","",INDEX('Master Inventory'!$B:$B,MATCH($A290,'Master Inventory'!$A:$A,0)))</f>
        <v/>
      </c>
      <c r="C290" s="8">
        <f>IF($A290="","",IFERROR(INDEX('ABC Analysis'!$F:$F,MATCH($A290,'ABC Analysis'!$A:$A,0)),""))</f>
        <v/>
      </c>
      <c r="D290" s="8">
        <f>IF($C290="","",IF($C290="A",$K$1,IF($C290="B",$M$1,$O$1)))</f>
        <v/>
      </c>
      <c r="E290" s="12" t="n"/>
      <c r="F290" s="13">
        <f>IF(OR($A290="",$E290=""),"",$E290+$D290)</f>
        <v/>
      </c>
      <c r="G290" s="8">
        <f>IF($F290="","",IF($F290&lt;TODAY(),"OVERDUE","ON TRACK"))</f>
        <v/>
      </c>
      <c r="H290" s="8">
        <f>IF($A290="","",IF(COUNTIFS('Blind Count Entry'!$C:$C,$A290,'Blind Count Entry'!$B:$B,"&gt;="&amp;DATE(YEAR(TODAY()),MONTH(TODAY()),1),'Blind Count Entry'!$B:$B,"&lt;="&amp;EOMONTH(TODAY(),0))&gt;0,"YES","NO"))</f>
        <v/>
      </c>
    </row>
    <row r="291">
      <c r="A291" s="8">
        <f>IF('Master Inventory'!A289="","",'Master Inventory'!A289)</f>
        <v/>
      </c>
      <c r="B291" s="8">
        <f>IF($A291="","",INDEX('Master Inventory'!$B:$B,MATCH($A291,'Master Inventory'!$A:$A,0)))</f>
        <v/>
      </c>
      <c r="C291" s="8">
        <f>IF($A291="","",IFERROR(INDEX('ABC Analysis'!$F:$F,MATCH($A291,'ABC Analysis'!$A:$A,0)),""))</f>
        <v/>
      </c>
      <c r="D291" s="8">
        <f>IF($C291="","",IF($C291="A",$K$1,IF($C291="B",$M$1,$O$1)))</f>
        <v/>
      </c>
      <c r="E291" s="12" t="n"/>
      <c r="F291" s="13">
        <f>IF(OR($A291="",$E291=""),"",$E291+$D291)</f>
        <v/>
      </c>
      <c r="G291" s="8">
        <f>IF($F291="","",IF($F291&lt;TODAY(),"OVERDUE","ON TRACK"))</f>
        <v/>
      </c>
      <c r="H291" s="8">
        <f>IF($A291="","",IF(COUNTIFS('Blind Count Entry'!$C:$C,$A291,'Blind Count Entry'!$B:$B,"&gt;="&amp;DATE(YEAR(TODAY()),MONTH(TODAY()),1),'Blind Count Entry'!$B:$B,"&lt;="&amp;EOMONTH(TODAY(),0))&gt;0,"YES","NO"))</f>
        <v/>
      </c>
    </row>
    <row r="292">
      <c r="A292" s="8">
        <f>IF('Master Inventory'!A290="","",'Master Inventory'!A290)</f>
        <v/>
      </c>
      <c r="B292" s="8">
        <f>IF($A292="","",INDEX('Master Inventory'!$B:$B,MATCH($A292,'Master Inventory'!$A:$A,0)))</f>
        <v/>
      </c>
      <c r="C292" s="8">
        <f>IF($A292="","",IFERROR(INDEX('ABC Analysis'!$F:$F,MATCH($A292,'ABC Analysis'!$A:$A,0)),""))</f>
        <v/>
      </c>
      <c r="D292" s="8">
        <f>IF($C292="","",IF($C292="A",$K$1,IF($C292="B",$M$1,$O$1)))</f>
        <v/>
      </c>
      <c r="E292" s="12" t="n"/>
      <c r="F292" s="13">
        <f>IF(OR($A292="",$E292=""),"",$E292+$D292)</f>
        <v/>
      </c>
      <c r="G292" s="8">
        <f>IF($F292="","",IF($F292&lt;TODAY(),"OVERDUE","ON TRACK"))</f>
        <v/>
      </c>
      <c r="H292" s="8">
        <f>IF($A292="","",IF(COUNTIFS('Blind Count Entry'!$C:$C,$A292,'Blind Count Entry'!$B:$B,"&gt;="&amp;DATE(YEAR(TODAY()),MONTH(TODAY()),1),'Blind Count Entry'!$B:$B,"&lt;="&amp;EOMONTH(TODAY(),0))&gt;0,"YES","NO"))</f>
        <v/>
      </c>
    </row>
    <row r="293">
      <c r="A293" s="8">
        <f>IF('Master Inventory'!A291="","",'Master Inventory'!A291)</f>
        <v/>
      </c>
      <c r="B293" s="8">
        <f>IF($A293="","",INDEX('Master Inventory'!$B:$B,MATCH($A293,'Master Inventory'!$A:$A,0)))</f>
        <v/>
      </c>
      <c r="C293" s="8">
        <f>IF($A293="","",IFERROR(INDEX('ABC Analysis'!$F:$F,MATCH($A293,'ABC Analysis'!$A:$A,0)),""))</f>
        <v/>
      </c>
      <c r="D293" s="8">
        <f>IF($C293="","",IF($C293="A",$K$1,IF($C293="B",$M$1,$O$1)))</f>
        <v/>
      </c>
      <c r="E293" s="12" t="n"/>
      <c r="F293" s="13">
        <f>IF(OR($A293="",$E293=""),"",$E293+$D293)</f>
        <v/>
      </c>
      <c r="G293" s="8">
        <f>IF($F293="","",IF($F293&lt;TODAY(),"OVERDUE","ON TRACK"))</f>
        <v/>
      </c>
      <c r="H293" s="8">
        <f>IF($A293="","",IF(COUNTIFS('Blind Count Entry'!$C:$C,$A293,'Blind Count Entry'!$B:$B,"&gt;="&amp;DATE(YEAR(TODAY()),MONTH(TODAY()),1),'Blind Count Entry'!$B:$B,"&lt;="&amp;EOMONTH(TODAY(),0))&gt;0,"YES","NO"))</f>
        <v/>
      </c>
    </row>
    <row r="294">
      <c r="A294" s="8">
        <f>IF('Master Inventory'!A292="","",'Master Inventory'!A292)</f>
        <v/>
      </c>
      <c r="B294" s="8">
        <f>IF($A294="","",INDEX('Master Inventory'!$B:$B,MATCH($A294,'Master Inventory'!$A:$A,0)))</f>
        <v/>
      </c>
      <c r="C294" s="8">
        <f>IF($A294="","",IFERROR(INDEX('ABC Analysis'!$F:$F,MATCH($A294,'ABC Analysis'!$A:$A,0)),""))</f>
        <v/>
      </c>
      <c r="D294" s="8">
        <f>IF($C294="","",IF($C294="A",$K$1,IF($C294="B",$M$1,$O$1)))</f>
        <v/>
      </c>
      <c r="E294" s="12" t="n"/>
      <c r="F294" s="13">
        <f>IF(OR($A294="",$E294=""),"",$E294+$D294)</f>
        <v/>
      </c>
      <c r="G294" s="8">
        <f>IF($F294="","",IF($F294&lt;TODAY(),"OVERDUE","ON TRACK"))</f>
        <v/>
      </c>
      <c r="H294" s="8">
        <f>IF($A294="","",IF(COUNTIFS('Blind Count Entry'!$C:$C,$A294,'Blind Count Entry'!$B:$B,"&gt;="&amp;DATE(YEAR(TODAY()),MONTH(TODAY()),1),'Blind Count Entry'!$B:$B,"&lt;="&amp;EOMONTH(TODAY(),0))&gt;0,"YES","NO"))</f>
        <v/>
      </c>
    </row>
    <row r="295">
      <c r="A295" s="8">
        <f>IF('Master Inventory'!A293="","",'Master Inventory'!A293)</f>
        <v/>
      </c>
      <c r="B295" s="8">
        <f>IF($A295="","",INDEX('Master Inventory'!$B:$B,MATCH($A295,'Master Inventory'!$A:$A,0)))</f>
        <v/>
      </c>
      <c r="C295" s="8">
        <f>IF($A295="","",IFERROR(INDEX('ABC Analysis'!$F:$F,MATCH($A295,'ABC Analysis'!$A:$A,0)),""))</f>
        <v/>
      </c>
      <c r="D295" s="8">
        <f>IF($C295="","",IF($C295="A",$K$1,IF($C295="B",$M$1,$O$1)))</f>
        <v/>
      </c>
      <c r="E295" s="12" t="n"/>
      <c r="F295" s="13">
        <f>IF(OR($A295="",$E295=""),"",$E295+$D295)</f>
        <v/>
      </c>
      <c r="G295" s="8">
        <f>IF($F295="","",IF($F295&lt;TODAY(),"OVERDUE","ON TRACK"))</f>
        <v/>
      </c>
      <c r="H295" s="8">
        <f>IF($A295="","",IF(COUNTIFS('Blind Count Entry'!$C:$C,$A295,'Blind Count Entry'!$B:$B,"&gt;="&amp;DATE(YEAR(TODAY()),MONTH(TODAY()),1),'Blind Count Entry'!$B:$B,"&lt;="&amp;EOMONTH(TODAY(),0))&gt;0,"YES","NO"))</f>
        <v/>
      </c>
    </row>
    <row r="296">
      <c r="A296" s="8">
        <f>IF('Master Inventory'!A294="","",'Master Inventory'!A294)</f>
        <v/>
      </c>
      <c r="B296" s="8">
        <f>IF($A296="","",INDEX('Master Inventory'!$B:$B,MATCH($A296,'Master Inventory'!$A:$A,0)))</f>
        <v/>
      </c>
      <c r="C296" s="8">
        <f>IF($A296="","",IFERROR(INDEX('ABC Analysis'!$F:$F,MATCH($A296,'ABC Analysis'!$A:$A,0)),""))</f>
        <v/>
      </c>
      <c r="D296" s="8">
        <f>IF($C296="","",IF($C296="A",$K$1,IF($C296="B",$M$1,$O$1)))</f>
        <v/>
      </c>
      <c r="E296" s="12" t="n"/>
      <c r="F296" s="13">
        <f>IF(OR($A296="",$E296=""),"",$E296+$D296)</f>
        <v/>
      </c>
      <c r="G296" s="8">
        <f>IF($F296="","",IF($F296&lt;TODAY(),"OVERDUE","ON TRACK"))</f>
        <v/>
      </c>
      <c r="H296" s="8">
        <f>IF($A296="","",IF(COUNTIFS('Blind Count Entry'!$C:$C,$A296,'Blind Count Entry'!$B:$B,"&gt;="&amp;DATE(YEAR(TODAY()),MONTH(TODAY()),1),'Blind Count Entry'!$B:$B,"&lt;="&amp;EOMONTH(TODAY(),0))&gt;0,"YES","NO"))</f>
        <v/>
      </c>
    </row>
    <row r="297">
      <c r="A297" s="8">
        <f>IF('Master Inventory'!A295="","",'Master Inventory'!A295)</f>
        <v/>
      </c>
      <c r="B297" s="8">
        <f>IF($A297="","",INDEX('Master Inventory'!$B:$B,MATCH($A297,'Master Inventory'!$A:$A,0)))</f>
        <v/>
      </c>
      <c r="C297" s="8">
        <f>IF($A297="","",IFERROR(INDEX('ABC Analysis'!$F:$F,MATCH($A297,'ABC Analysis'!$A:$A,0)),""))</f>
        <v/>
      </c>
      <c r="D297" s="8">
        <f>IF($C297="","",IF($C297="A",$K$1,IF($C297="B",$M$1,$O$1)))</f>
        <v/>
      </c>
      <c r="E297" s="12" t="n"/>
      <c r="F297" s="13">
        <f>IF(OR($A297="",$E297=""),"",$E297+$D297)</f>
        <v/>
      </c>
      <c r="G297" s="8">
        <f>IF($F297="","",IF($F297&lt;TODAY(),"OVERDUE","ON TRACK"))</f>
        <v/>
      </c>
      <c r="H297" s="8">
        <f>IF($A297="","",IF(COUNTIFS('Blind Count Entry'!$C:$C,$A297,'Blind Count Entry'!$B:$B,"&gt;="&amp;DATE(YEAR(TODAY()),MONTH(TODAY()),1),'Blind Count Entry'!$B:$B,"&lt;="&amp;EOMONTH(TODAY(),0))&gt;0,"YES","NO"))</f>
        <v/>
      </c>
    </row>
    <row r="298">
      <c r="A298" s="8">
        <f>IF('Master Inventory'!A296="","",'Master Inventory'!A296)</f>
        <v/>
      </c>
      <c r="B298" s="8">
        <f>IF($A298="","",INDEX('Master Inventory'!$B:$B,MATCH($A298,'Master Inventory'!$A:$A,0)))</f>
        <v/>
      </c>
      <c r="C298" s="8">
        <f>IF($A298="","",IFERROR(INDEX('ABC Analysis'!$F:$F,MATCH($A298,'ABC Analysis'!$A:$A,0)),""))</f>
        <v/>
      </c>
      <c r="D298" s="8">
        <f>IF($C298="","",IF($C298="A",$K$1,IF($C298="B",$M$1,$O$1)))</f>
        <v/>
      </c>
      <c r="E298" s="12" t="n"/>
      <c r="F298" s="13">
        <f>IF(OR($A298="",$E298=""),"",$E298+$D298)</f>
        <v/>
      </c>
      <c r="G298" s="8">
        <f>IF($F298="","",IF($F298&lt;TODAY(),"OVERDUE","ON TRACK"))</f>
        <v/>
      </c>
      <c r="H298" s="8">
        <f>IF($A298="","",IF(COUNTIFS('Blind Count Entry'!$C:$C,$A298,'Blind Count Entry'!$B:$B,"&gt;="&amp;DATE(YEAR(TODAY()),MONTH(TODAY()),1),'Blind Count Entry'!$B:$B,"&lt;="&amp;EOMONTH(TODAY(),0))&gt;0,"YES","NO"))</f>
        <v/>
      </c>
    </row>
    <row r="299">
      <c r="A299" s="8">
        <f>IF('Master Inventory'!A297="","",'Master Inventory'!A297)</f>
        <v/>
      </c>
      <c r="B299" s="8">
        <f>IF($A299="","",INDEX('Master Inventory'!$B:$B,MATCH($A299,'Master Inventory'!$A:$A,0)))</f>
        <v/>
      </c>
      <c r="C299" s="8">
        <f>IF($A299="","",IFERROR(INDEX('ABC Analysis'!$F:$F,MATCH($A299,'ABC Analysis'!$A:$A,0)),""))</f>
        <v/>
      </c>
      <c r="D299" s="8">
        <f>IF($C299="","",IF($C299="A",$K$1,IF($C299="B",$M$1,$O$1)))</f>
        <v/>
      </c>
      <c r="E299" s="12" t="n"/>
      <c r="F299" s="13">
        <f>IF(OR($A299="",$E299=""),"",$E299+$D299)</f>
        <v/>
      </c>
      <c r="G299" s="8">
        <f>IF($F299="","",IF($F299&lt;TODAY(),"OVERDUE","ON TRACK"))</f>
        <v/>
      </c>
      <c r="H299" s="8">
        <f>IF($A299="","",IF(COUNTIFS('Blind Count Entry'!$C:$C,$A299,'Blind Count Entry'!$B:$B,"&gt;="&amp;DATE(YEAR(TODAY()),MONTH(TODAY()),1),'Blind Count Entry'!$B:$B,"&lt;="&amp;EOMONTH(TODAY(),0))&gt;0,"YES","NO"))</f>
        <v/>
      </c>
    </row>
    <row r="300">
      <c r="A300" s="8">
        <f>IF('Master Inventory'!A298="","",'Master Inventory'!A298)</f>
        <v/>
      </c>
      <c r="B300" s="8">
        <f>IF($A300="","",INDEX('Master Inventory'!$B:$B,MATCH($A300,'Master Inventory'!$A:$A,0)))</f>
        <v/>
      </c>
      <c r="C300" s="8">
        <f>IF($A300="","",IFERROR(INDEX('ABC Analysis'!$F:$F,MATCH($A300,'ABC Analysis'!$A:$A,0)),""))</f>
        <v/>
      </c>
      <c r="D300" s="8">
        <f>IF($C300="","",IF($C300="A",$K$1,IF($C300="B",$M$1,$O$1)))</f>
        <v/>
      </c>
      <c r="E300" s="12" t="n"/>
      <c r="F300" s="13">
        <f>IF(OR($A300="",$E300=""),"",$E300+$D300)</f>
        <v/>
      </c>
      <c r="G300" s="8">
        <f>IF($F300="","",IF($F300&lt;TODAY(),"OVERDUE","ON TRACK"))</f>
        <v/>
      </c>
      <c r="H300" s="8">
        <f>IF($A300="","",IF(COUNTIFS('Blind Count Entry'!$C:$C,$A300,'Blind Count Entry'!$B:$B,"&gt;="&amp;DATE(YEAR(TODAY()),MONTH(TODAY()),1),'Blind Count Entry'!$B:$B,"&lt;="&amp;EOMONTH(TODAY(),0))&gt;0,"YES","NO"))</f>
        <v/>
      </c>
    </row>
    <row r="301">
      <c r="A301" s="8">
        <f>IF('Master Inventory'!A299="","",'Master Inventory'!A299)</f>
        <v/>
      </c>
      <c r="B301" s="8">
        <f>IF($A301="","",INDEX('Master Inventory'!$B:$B,MATCH($A301,'Master Inventory'!$A:$A,0)))</f>
        <v/>
      </c>
      <c r="C301" s="8">
        <f>IF($A301="","",IFERROR(INDEX('ABC Analysis'!$F:$F,MATCH($A301,'ABC Analysis'!$A:$A,0)),""))</f>
        <v/>
      </c>
      <c r="D301" s="8">
        <f>IF($C301="","",IF($C301="A",$K$1,IF($C301="B",$M$1,$O$1)))</f>
        <v/>
      </c>
      <c r="E301" s="12" t="n"/>
      <c r="F301" s="13">
        <f>IF(OR($A301="",$E301=""),"",$E301+$D301)</f>
        <v/>
      </c>
      <c r="G301" s="8">
        <f>IF($F301="","",IF($F301&lt;TODAY(),"OVERDUE","ON TRACK"))</f>
        <v/>
      </c>
      <c r="H301" s="8">
        <f>IF($A301="","",IF(COUNTIFS('Blind Count Entry'!$C:$C,$A301,'Blind Count Entry'!$B:$B,"&gt;="&amp;DATE(YEAR(TODAY()),MONTH(TODAY()),1),'Blind Count Entry'!$B:$B,"&lt;="&amp;EOMONTH(TODAY(),0))&gt;0,"YES","NO"))</f>
        <v/>
      </c>
    </row>
    <row r="302">
      <c r="A302" s="8">
        <f>IF('Master Inventory'!A300="","",'Master Inventory'!A300)</f>
        <v/>
      </c>
      <c r="B302" s="8">
        <f>IF($A302="","",INDEX('Master Inventory'!$B:$B,MATCH($A302,'Master Inventory'!$A:$A,0)))</f>
        <v/>
      </c>
      <c r="C302" s="8">
        <f>IF($A302="","",IFERROR(INDEX('ABC Analysis'!$F:$F,MATCH($A302,'ABC Analysis'!$A:$A,0)),""))</f>
        <v/>
      </c>
      <c r="D302" s="8">
        <f>IF($C302="","",IF($C302="A",$K$1,IF($C302="B",$M$1,$O$1)))</f>
        <v/>
      </c>
      <c r="E302" s="12" t="n"/>
      <c r="F302" s="13">
        <f>IF(OR($A302="",$E302=""),"",$E302+$D302)</f>
        <v/>
      </c>
      <c r="G302" s="8">
        <f>IF($F302="","",IF($F302&lt;TODAY(),"OVERDUE","ON TRACK"))</f>
        <v/>
      </c>
      <c r="H302" s="8">
        <f>IF($A302="","",IF(COUNTIFS('Blind Count Entry'!$C:$C,$A302,'Blind Count Entry'!$B:$B,"&gt;="&amp;DATE(YEAR(TODAY()),MONTH(TODAY()),1),'Blind Count Entry'!$B:$B,"&lt;="&amp;EOMONTH(TODAY(),0))&gt;0,"YES","NO"))</f>
        <v/>
      </c>
    </row>
    <row r="303">
      <c r="A303" s="8">
        <f>IF('Master Inventory'!A301="","",'Master Inventory'!A301)</f>
        <v/>
      </c>
      <c r="B303" s="8">
        <f>IF($A303="","",INDEX('Master Inventory'!$B:$B,MATCH($A303,'Master Inventory'!$A:$A,0)))</f>
        <v/>
      </c>
      <c r="C303" s="8">
        <f>IF($A303="","",IFERROR(INDEX('ABC Analysis'!$F:$F,MATCH($A303,'ABC Analysis'!$A:$A,0)),""))</f>
        <v/>
      </c>
      <c r="D303" s="8">
        <f>IF($C303="","",IF($C303="A",$K$1,IF($C303="B",$M$1,$O$1)))</f>
        <v/>
      </c>
      <c r="E303" s="12" t="n"/>
      <c r="F303" s="13">
        <f>IF(OR($A303="",$E303=""),"",$E303+$D303)</f>
        <v/>
      </c>
      <c r="G303" s="8">
        <f>IF($F303="","",IF($F303&lt;TODAY(),"OVERDUE","ON TRACK"))</f>
        <v/>
      </c>
      <c r="H303" s="8">
        <f>IF($A303="","",IF(COUNTIFS('Blind Count Entry'!$C:$C,$A303,'Blind Count Entry'!$B:$B,"&gt;="&amp;DATE(YEAR(TODAY()),MONTH(TODAY()),1),'Blind Count Entry'!$B:$B,"&lt;="&amp;EOMONTH(TODAY(),0))&gt;0,"YES","NO"))</f>
        <v/>
      </c>
    </row>
    <row r="304">
      <c r="A304" s="8">
        <f>IF('Master Inventory'!A302="","",'Master Inventory'!A302)</f>
        <v/>
      </c>
      <c r="B304" s="8">
        <f>IF($A304="","",INDEX('Master Inventory'!$B:$B,MATCH($A304,'Master Inventory'!$A:$A,0)))</f>
        <v/>
      </c>
      <c r="C304" s="8">
        <f>IF($A304="","",IFERROR(INDEX('ABC Analysis'!$F:$F,MATCH($A304,'ABC Analysis'!$A:$A,0)),""))</f>
        <v/>
      </c>
      <c r="D304" s="8">
        <f>IF($C304="","",IF($C304="A",$K$1,IF($C304="B",$M$1,$O$1)))</f>
        <v/>
      </c>
      <c r="E304" s="12" t="n"/>
      <c r="F304" s="13">
        <f>IF(OR($A304="",$E304=""),"",$E304+$D304)</f>
        <v/>
      </c>
      <c r="G304" s="8">
        <f>IF($F304="","",IF($F304&lt;TODAY(),"OVERDUE","ON TRACK"))</f>
        <v/>
      </c>
      <c r="H304" s="8">
        <f>IF($A304="","",IF(COUNTIFS('Blind Count Entry'!$C:$C,$A304,'Blind Count Entry'!$B:$B,"&gt;="&amp;DATE(YEAR(TODAY()),MONTH(TODAY()),1),'Blind Count Entry'!$B:$B,"&lt;="&amp;EOMONTH(TODAY(),0))&gt;0,"YES","NO"))</f>
        <v/>
      </c>
    </row>
    <row r="305">
      <c r="A305" s="8">
        <f>IF('Master Inventory'!A303="","",'Master Inventory'!A303)</f>
        <v/>
      </c>
      <c r="B305" s="8">
        <f>IF($A305="","",INDEX('Master Inventory'!$B:$B,MATCH($A305,'Master Inventory'!$A:$A,0)))</f>
        <v/>
      </c>
      <c r="C305" s="8">
        <f>IF($A305="","",IFERROR(INDEX('ABC Analysis'!$F:$F,MATCH($A305,'ABC Analysis'!$A:$A,0)),""))</f>
        <v/>
      </c>
      <c r="D305" s="8">
        <f>IF($C305="","",IF($C305="A",$K$1,IF($C305="B",$M$1,$O$1)))</f>
        <v/>
      </c>
      <c r="E305" s="12" t="n"/>
      <c r="F305" s="13">
        <f>IF(OR($A305="",$E305=""),"",$E305+$D305)</f>
        <v/>
      </c>
      <c r="G305" s="8">
        <f>IF($F305="","",IF($F305&lt;TODAY(),"OVERDUE","ON TRACK"))</f>
        <v/>
      </c>
      <c r="H305" s="8">
        <f>IF($A305="","",IF(COUNTIFS('Blind Count Entry'!$C:$C,$A305,'Blind Count Entry'!$B:$B,"&gt;="&amp;DATE(YEAR(TODAY()),MONTH(TODAY()),1),'Blind Count Entry'!$B:$B,"&lt;="&amp;EOMONTH(TODAY(),0))&gt;0,"YES","NO"))</f>
        <v/>
      </c>
    </row>
    <row r="306">
      <c r="A306" s="8">
        <f>IF('Master Inventory'!A304="","",'Master Inventory'!A304)</f>
        <v/>
      </c>
      <c r="B306" s="8">
        <f>IF($A306="","",INDEX('Master Inventory'!$B:$B,MATCH($A306,'Master Inventory'!$A:$A,0)))</f>
        <v/>
      </c>
      <c r="C306" s="8">
        <f>IF($A306="","",IFERROR(INDEX('ABC Analysis'!$F:$F,MATCH($A306,'ABC Analysis'!$A:$A,0)),""))</f>
        <v/>
      </c>
      <c r="D306" s="8">
        <f>IF($C306="","",IF($C306="A",$K$1,IF($C306="B",$M$1,$O$1)))</f>
        <v/>
      </c>
      <c r="E306" s="12" t="n"/>
      <c r="F306" s="13">
        <f>IF(OR($A306="",$E306=""),"",$E306+$D306)</f>
        <v/>
      </c>
      <c r="G306" s="8">
        <f>IF($F306="","",IF($F306&lt;TODAY(),"OVERDUE","ON TRACK"))</f>
        <v/>
      </c>
      <c r="H306" s="8">
        <f>IF($A306="","",IF(COUNTIFS('Blind Count Entry'!$C:$C,$A306,'Blind Count Entry'!$B:$B,"&gt;="&amp;DATE(YEAR(TODAY()),MONTH(TODAY()),1),'Blind Count Entry'!$B:$B,"&lt;="&amp;EOMONTH(TODAY(),0))&gt;0,"YES","NO"))</f>
        <v/>
      </c>
    </row>
    <row r="307">
      <c r="A307" s="8">
        <f>IF('Master Inventory'!A305="","",'Master Inventory'!A305)</f>
        <v/>
      </c>
      <c r="B307" s="8">
        <f>IF($A307="","",INDEX('Master Inventory'!$B:$B,MATCH($A307,'Master Inventory'!$A:$A,0)))</f>
        <v/>
      </c>
      <c r="C307" s="8">
        <f>IF($A307="","",IFERROR(INDEX('ABC Analysis'!$F:$F,MATCH($A307,'ABC Analysis'!$A:$A,0)),""))</f>
        <v/>
      </c>
      <c r="D307" s="8">
        <f>IF($C307="","",IF($C307="A",$K$1,IF($C307="B",$M$1,$O$1)))</f>
        <v/>
      </c>
      <c r="E307" s="12" t="n"/>
      <c r="F307" s="13">
        <f>IF(OR($A307="",$E307=""),"",$E307+$D307)</f>
        <v/>
      </c>
      <c r="G307" s="8">
        <f>IF($F307="","",IF($F307&lt;TODAY(),"OVERDUE","ON TRACK"))</f>
        <v/>
      </c>
      <c r="H307" s="8">
        <f>IF($A307="","",IF(COUNTIFS('Blind Count Entry'!$C:$C,$A307,'Blind Count Entry'!$B:$B,"&gt;="&amp;DATE(YEAR(TODAY()),MONTH(TODAY()),1),'Blind Count Entry'!$B:$B,"&lt;="&amp;EOMONTH(TODAY(),0))&gt;0,"YES","NO"))</f>
        <v/>
      </c>
    </row>
    <row r="308">
      <c r="A308" s="8">
        <f>IF('Master Inventory'!A306="","",'Master Inventory'!A306)</f>
        <v/>
      </c>
      <c r="B308" s="8">
        <f>IF($A308="","",INDEX('Master Inventory'!$B:$B,MATCH($A308,'Master Inventory'!$A:$A,0)))</f>
        <v/>
      </c>
      <c r="C308" s="8">
        <f>IF($A308="","",IFERROR(INDEX('ABC Analysis'!$F:$F,MATCH($A308,'ABC Analysis'!$A:$A,0)),""))</f>
        <v/>
      </c>
      <c r="D308" s="8">
        <f>IF($C308="","",IF($C308="A",$K$1,IF($C308="B",$M$1,$O$1)))</f>
        <v/>
      </c>
      <c r="E308" s="12" t="n"/>
      <c r="F308" s="13">
        <f>IF(OR($A308="",$E308=""),"",$E308+$D308)</f>
        <v/>
      </c>
      <c r="G308" s="8">
        <f>IF($F308="","",IF($F308&lt;TODAY(),"OVERDUE","ON TRACK"))</f>
        <v/>
      </c>
      <c r="H308" s="8">
        <f>IF($A308="","",IF(COUNTIFS('Blind Count Entry'!$C:$C,$A308,'Blind Count Entry'!$B:$B,"&gt;="&amp;DATE(YEAR(TODAY()),MONTH(TODAY()),1),'Blind Count Entry'!$B:$B,"&lt;="&amp;EOMONTH(TODAY(),0))&gt;0,"YES","NO"))</f>
        <v/>
      </c>
    </row>
    <row r="309">
      <c r="A309" s="8">
        <f>IF('Master Inventory'!A307="","",'Master Inventory'!A307)</f>
        <v/>
      </c>
      <c r="B309" s="8">
        <f>IF($A309="","",INDEX('Master Inventory'!$B:$B,MATCH($A309,'Master Inventory'!$A:$A,0)))</f>
        <v/>
      </c>
      <c r="C309" s="8">
        <f>IF($A309="","",IFERROR(INDEX('ABC Analysis'!$F:$F,MATCH($A309,'ABC Analysis'!$A:$A,0)),""))</f>
        <v/>
      </c>
      <c r="D309" s="8">
        <f>IF($C309="","",IF($C309="A",$K$1,IF($C309="B",$M$1,$O$1)))</f>
        <v/>
      </c>
      <c r="E309" s="12" t="n"/>
      <c r="F309" s="13">
        <f>IF(OR($A309="",$E309=""),"",$E309+$D309)</f>
        <v/>
      </c>
      <c r="G309" s="8">
        <f>IF($F309="","",IF($F309&lt;TODAY(),"OVERDUE","ON TRACK"))</f>
        <v/>
      </c>
      <c r="H309" s="8">
        <f>IF($A309="","",IF(COUNTIFS('Blind Count Entry'!$C:$C,$A309,'Blind Count Entry'!$B:$B,"&gt;="&amp;DATE(YEAR(TODAY()),MONTH(TODAY()),1),'Blind Count Entry'!$B:$B,"&lt;="&amp;EOMONTH(TODAY(),0))&gt;0,"YES","NO"))</f>
        <v/>
      </c>
    </row>
    <row r="310">
      <c r="A310" s="8">
        <f>IF('Master Inventory'!A308="","",'Master Inventory'!A308)</f>
        <v/>
      </c>
      <c r="B310" s="8">
        <f>IF($A310="","",INDEX('Master Inventory'!$B:$B,MATCH($A310,'Master Inventory'!$A:$A,0)))</f>
        <v/>
      </c>
      <c r="C310" s="8">
        <f>IF($A310="","",IFERROR(INDEX('ABC Analysis'!$F:$F,MATCH($A310,'ABC Analysis'!$A:$A,0)),""))</f>
        <v/>
      </c>
      <c r="D310" s="8">
        <f>IF($C310="","",IF($C310="A",$K$1,IF($C310="B",$M$1,$O$1)))</f>
        <v/>
      </c>
      <c r="E310" s="12" t="n"/>
      <c r="F310" s="13">
        <f>IF(OR($A310="",$E310=""),"",$E310+$D310)</f>
        <v/>
      </c>
      <c r="G310" s="8">
        <f>IF($F310="","",IF($F310&lt;TODAY(),"OVERDUE","ON TRACK"))</f>
        <v/>
      </c>
      <c r="H310" s="8">
        <f>IF($A310="","",IF(COUNTIFS('Blind Count Entry'!$C:$C,$A310,'Blind Count Entry'!$B:$B,"&gt;="&amp;DATE(YEAR(TODAY()),MONTH(TODAY()),1),'Blind Count Entry'!$B:$B,"&lt;="&amp;EOMONTH(TODAY(),0))&gt;0,"YES","NO"))</f>
        <v/>
      </c>
    </row>
    <row r="311">
      <c r="A311" s="8">
        <f>IF('Master Inventory'!A309="","",'Master Inventory'!A309)</f>
        <v/>
      </c>
      <c r="B311" s="8">
        <f>IF($A311="","",INDEX('Master Inventory'!$B:$B,MATCH($A311,'Master Inventory'!$A:$A,0)))</f>
        <v/>
      </c>
      <c r="C311" s="8">
        <f>IF($A311="","",IFERROR(INDEX('ABC Analysis'!$F:$F,MATCH($A311,'ABC Analysis'!$A:$A,0)),""))</f>
        <v/>
      </c>
      <c r="D311" s="8">
        <f>IF($C311="","",IF($C311="A",$K$1,IF($C311="B",$M$1,$O$1)))</f>
        <v/>
      </c>
      <c r="E311" s="12" t="n"/>
      <c r="F311" s="13">
        <f>IF(OR($A311="",$E311=""),"",$E311+$D311)</f>
        <v/>
      </c>
      <c r="G311" s="8">
        <f>IF($F311="","",IF($F311&lt;TODAY(),"OVERDUE","ON TRACK"))</f>
        <v/>
      </c>
      <c r="H311" s="8">
        <f>IF($A311="","",IF(COUNTIFS('Blind Count Entry'!$C:$C,$A311,'Blind Count Entry'!$B:$B,"&gt;="&amp;DATE(YEAR(TODAY()),MONTH(TODAY()),1),'Blind Count Entry'!$B:$B,"&lt;="&amp;EOMONTH(TODAY(),0))&gt;0,"YES","NO"))</f>
        <v/>
      </c>
    </row>
    <row r="312">
      <c r="A312" s="8">
        <f>IF('Master Inventory'!A310="","",'Master Inventory'!A310)</f>
        <v/>
      </c>
      <c r="B312" s="8">
        <f>IF($A312="","",INDEX('Master Inventory'!$B:$B,MATCH($A312,'Master Inventory'!$A:$A,0)))</f>
        <v/>
      </c>
      <c r="C312" s="8">
        <f>IF($A312="","",IFERROR(INDEX('ABC Analysis'!$F:$F,MATCH($A312,'ABC Analysis'!$A:$A,0)),""))</f>
        <v/>
      </c>
      <c r="D312" s="8">
        <f>IF($C312="","",IF($C312="A",$K$1,IF($C312="B",$M$1,$O$1)))</f>
        <v/>
      </c>
      <c r="E312" s="12" t="n"/>
      <c r="F312" s="13">
        <f>IF(OR($A312="",$E312=""),"",$E312+$D312)</f>
        <v/>
      </c>
      <c r="G312" s="8">
        <f>IF($F312="","",IF($F312&lt;TODAY(),"OVERDUE","ON TRACK"))</f>
        <v/>
      </c>
      <c r="H312" s="8">
        <f>IF($A312="","",IF(COUNTIFS('Blind Count Entry'!$C:$C,$A312,'Blind Count Entry'!$B:$B,"&gt;="&amp;DATE(YEAR(TODAY()),MONTH(TODAY()),1),'Blind Count Entry'!$B:$B,"&lt;="&amp;EOMONTH(TODAY(),0))&gt;0,"YES","NO"))</f>
        <v/>
      </c>
    </row>
    <row r="313">
      <c r="A313" s="8">
        <f>IF('Master Inventory'!A311="","",'Master Inventory'!A311)</f>
        <v/>
      </c>
      <c r="B313" s="8">
        <f>IF($A313="","",INDEX('Master Inventory'!$B:$B,MATCH($A313,'Master Inventory'!$A:$A,0)))</f>
        <v/>
      </c>
      <c r="C313" s="8">
        <f>IF($A313="","",IFERROR(INDEX('ABC Analysis'!$F:$F,MATCH($A313,'ABC Analysis'!$A:$A,0)),""))</f>
        <v/>
      </c>
      <c r="D313" s="8">
        <f>IF($C313="","",IF($C313="A",$K$1,IF($C313="B",$M$1,$O$1)))</f>
        <v/>
      </c>
      <c r="E313" s="12" t="n"/>
      <c r="F313" s="13">
        <f>IF(OR($A313="",$E313=""),"",$E313+$D313)</f>
        <v/>
      </c>
      <c r="G313" s="8">
        <f>IF($F313="","",IF($F313&lt;TODAY(),"OVERDUE","ON TRACK"))</f>
        <v/>
      </c>
      <c r="H313" s="8">
        <f>IF($A313="","",IF(COUNTIFS('Blind Count Entry'!$C:$C,$A313,'Blind Count Entry'!$B:$B,"&gt;="&amp;DATE(YEAR(TODAY()),MONTH(TODAY()),1),'Blind Count Entry'!$B:$B,"&lt;="&amp;EOMONTH(TODAY(),0))&gt;0,"YES","NO"))</f>
        <v/>
      </c>
    </row>
    <row r="314">
      <c r="A314" s="8">
        <f>IF('Master Inventory'!A312="","",'Master Inventory'!A312)</f>
        <v/>
      </c>
      <c r="B314" s="8">
        <f>IF($A314="","",INDEX('Master Inventory'!$B:$B,MATCH($A314,'Master Inventory'!$A:$A,0)))</f>
        <v/>
      </c>
      <c r="C314" s="8">
        <f>IF($A314="","",IFERROR(INDEX('ABC Analysis'!$F:$F,MATCH($A314,'ABC Analysis'!$A:$A,0)),""))</f>
        <v/>
      </c>
      <c r="D314" s="8">
        <f>IF($C314="","",IF($C314="A",$K$1,IF($C314="B",$M$1,$O$1)))</f>
        <v/>
      </c>
      <c r="E314" s="12" t="n"/>
      <c r="F314" s="13">
        <f>IF(OR($A314="",$E314=""),"",$E314+$D314)</f>
        <v/>
      </c>
      <c r="G314" s="8">
        <f>IF($F314="","",IF($F314&lt;TODAY(),"OVERDUE","ON TRACK"))</f>
        <v/>
      </c>
      <c r="H314" s="8">
        <f>IF($A314="","",IF(COUNTIFS('Blind Count Entry'!$C:$C,$A314,'Blind Count Entry'!$B:$B,"&gt;="&amp;DATE(YEAR(TODAY()),MONTH(TODAY()),1),'Blind Count Entry'!$B:$B,"&lt;="&amp;EOMONTH(TODAY(),0))&gt;0,"YES","NO"))</f>
        <v/>
      </c>
    </row>
    <row r="315">
      <c r="A315" s="8">
        <f>IF('Master Inventory'!A313="","",'Master Inventory'!A313)</f>
        <v/>
      </c>
      <c r="B315" s="8">
        <f>IF($A315="","",INDEX('Master Inventory'!$B:$B,MATCH($A315,'Master Inventory'!$A:$A,0)))</f>
        <v/>
      </c>
      <c r="C315" s="8">
        <f>IF($A315="","",IFERROR(INDEX('ABC Analysis'!$F:$F,MATCH($A315,'ABC Analysis'!$A:$A,0)),""))</f>
        <v/>
      </c>
      <c r="D315" s="8">
        <f>IF($C315="","",IF($C315="A",$K$1,IF($C315="B",$M$1,$O$1)))</f>
        <v/>
      </c>
      <c r="E315" s="12" t="n"/>
      <c r="F315" s="13">
        <f>IF(OR($A315="",$E315=""),"",$E315+$D315)</f>
        <v/>
      </c>
      <c r="G315" s="8">
        <f>IF($F315="","",IF($F315&lt;TODAY(),"OVERDUE","ON TRACK"))</f>
        <v/>
      </c>
      <c r="H315" s="8">
        <f>IF($A315="","",IF(COUNTIFS('Blind Count Entry'!$C:$C,$A315,'Blind Count Entry'!$B:$B,"&gt;="&amp;DATE(YEAR(TODAY()),MONTH(TODAY()),1),'Blind Count Entry'!$B:$B,"&lt;="&amp;EOMONTH(TODAY(),0))&gt;0,"YES","NO"))</f>
        <v/>
      </c>
    </row>
    <row r="316">
      <c r="A316" s="8">
        <f>IF('Master Inventory'!A314="","",'Master Inventory'!A314)</f>
        <v/>
      </c>
      <c r="B316" s="8">
        <f>IF($A316="","",INDEX('Master Inventory'!$B:$B,MATCH($A316,'Master Inventory'!$A:$A,0)))</f>
        <v/>
      </c>
      <c r="C316" s="8">
        <f>IF($A316="","",IFERROR(INDEX('ABC Analysis'!$F:$F,MATCH($A316,'ABC Analysis'!$A:$A,0)),""))</f>
        <v/>
      </c>
      <c r="D316" s="8">
        <f>IF($C316="","",IF($C316="A",$K$1,IF($C316="B",$M$1,$O$1)))</f>
        <v/>
      </c>
      <c r="E316" s="12" t="n"/>
      <c r="F316" s="13">
        <f>IF(OR($A316="",$E316=""),"",$E316+$D316)</f>
        <v/>
      </c>
      <c r="G316" s="8">
        <f>IF($F316="","",IF($F316&lt;TODAY(),"OVERDUE","ON TRACK"))</f>
        <v/>
      </c>
      <c r="H316" s="8">
        <f>IF($A316="","",IF(COUNTIFS('Blind Count Entry'!$C:$C,$A316,'Blind Count Entry'!$B:$B,"&gt;="&amp;DATE(YEAR(TODAY()),MONTH(TODAY()),1),'Blind Count Entry'!$B:$B,"&lt;="&amp;EOMONTH(TODAY(),0))&gt;0,"YES","NO"))</f>
        <v/>
      </c>
    </row>
    <row r="317">
      <c r="A317" s="8">
        <f>IF('Master Inventory'!A315="","",'Master Inventory'!A315)</f>
        <v/>
      </c>
      <c r="B317" s="8">
        <f>IF($A317="","",INDEX('Master Inventory'!$B:$B,MATCH($A317,'Master Inventory'!$A:$A,0)))</f>
        <v/>
      </c>
      <c r="C317" s="8">
        <f>IF($A317="","",IFERROR(INDEX('ABC Analysis'!$F:$F,MATCH($A317,'ABC Analysis'!$A:$A,0)),""))</f>
        <v/>
      </c>
      <c r="D317" s="8">
        <f>IF($C317="","",IF($C317="A",$K$1,IF($C317="B",$M$1,$O$1)))</f>
        <v/>
      </c>
      <c r="E317" s="12" t="n"/>
      <c r="F317" s="13">
        <f>IF(OR($A317="",$E317=""),"",$E317+$D317)</f>
        <v/>
      </c>
      <c r="G317" s="8">
        <f>IF($F317="","",IF($F317&lt;TODAY(),"OVERDUE","ON TRACK"))</f>
        <v/>
      </c>
      <c r="H317" s="8">
        <f>IF($A317="","",IF(COUNTIFS('Blind Count Entry'!$C:$C,$A317,'Blind Count Entry'!$B:$B,"&gt;="&amp;DATE(YEAR(TODAY()),MONTH(TODAY()),1),'Blind Count Entry'!$B:$B,"&lt;="&amp;EOMONTH(TODAY(),0))&gt;0,"YES","NO"))</f>
        <v/>
      </c>
    </row>
    <row r="318">
      <c r="A318" s="8">
        <f>IF('Master Inventory'!A316="","",'Master Inventory'!A316)</f>
        <v/>
      </c>
      <c r="B318" s="8">
        <f>IF($A318="","",INDEX('Master Inventory'!$B:$B,MATCH($A318,'Master Inventory'!$A:$A,0)))</f>
        <v/>
      </c>
      <c r="C318" s="8">
        <f>IF($A318="","",IFERROR(INDEX('ABC Analysis'!$F:$F,MATCH($A318,'ABC Analysis'!$A:$A,0)),""))</f>
        <v/>
      </c>
      <c r="D318" s="8">
        <f>IF($C318="","",IF($C318="A",$K$1,IF($C318="B",$M$1,$O$1)))</f>
        <v/>
      </c>
      <c r="E318" s="12" t="n"/>
      <c r="F318" s="13">
        <f>IF(OR($A318="",$E318=""),"",$E318+$D318)</f>
        <v/>
      </c>
      <c r="G318" s="8">
        <f>IF($F318="","",IF($F318&lt;TODAY(),"OVERDUE","ON TRACK"))</f>
        <v/>
      </c>
      <c r="H318" s="8">
        <f>IF($A318="","",IF(COUNTIFS('Blind Count Entry'!$C:$C,$A318,'Blind Count Entry'!$B:$B,"&gt;="&amp;DATE(YEAR(TODAY()),MONTH(TODAY()),1),'Blind Count Entry'!$B:$B,"&lt;="&amp;EOMONTH(TODAY(),0))&gt;0,"YES","NO"))</f>
        <v/>
      </c>
    </row>
    <row r="319">
      <c r="A319" s="8">
        <f>IF('Master Inventory'!A317="","",'Master Inventory'!A317)</f>
        <v/>
      </c>
      <c r="B319" s="8">
        <f>IF($A319="","",INDEX('Master Inventory'!$B:$B,MATCH($A319,'Master Inventory'!$A:$A,0)))</f>
        <v/>
      </c>
      <c r="C319" s="8">
        <f>IF($A319="","",IFERROR(INDEX('ABC Analysis'!$F:$F,MATCH($A319,'ABC Analysis'!$A:$A,0)),""))</f>
        <v/>
      </c>
      <c r="D319" s="8">
        <f>IF($C319="","",IF($C319="A",$K$1,IF($C319="B",$M$1,$O$1)))</f>
        <v/>
      </c>
      <c r="E319" s="12" t="n"/>
      <c r="F319" s="13">
        <f>IF(OR($A319="",$E319=""),"",$E319+$D319)</f>
        <v/>
      </c>
      <c r="G319" s="8">
        <f>IF($F319="","",IF($F319&lt;TODAY(),"OVERDUE","ON TRACK"))</f>
        <v/>
      </c>
      <c r="H319" s="8">
        <f>IF($A319="","",IF(COUNTIFS('Blind Count Entry'!$C:$C,$A319,'Blind Count Entry'!$B:$B,"&gt;="&amp;DATE(YEAR(TODAY()),MONTH(TODAY()),1),'Blind Count Entry'!$B:$B,"&lt;="&amp;EOMONTH(TODAY(),0))&gt;0,"YES","NO"))</f>
        <v/>
      </c>
    </row>
    <row r="320">
      <c r="A320" s="8">
        <f>IF('Master Inventory'!A318="","",'Master Inventory'!A318)</f>
        <v/>
      </c>
      <c r="B320" s="8">
        <f>IF($A320="","",INDEX('Master Inventory'!$B:$B,MATCH($A320,'Master Inventory'!$A:$A,0)))</f>
        <v/>
      </c>
      <c r="C320" s="8">
        <f>IF($A320="","",IFERROR(INDEX('ABC Analysis'!$F:$F,MATCH($A320,'ABC Analysis'!$A:$A,0)),""))</f>
        <v/>
      </c>
      <c r="D320" s="8">
        <f>IF($C320="","",IF($C320="A",$K$1,IF($C320="B",$M$1,$O$1)))</f>
        <v/>
      </c>
      <c r="E320" s="12" t="n"/>
      <c r="F320" s="13">
        <f>IF(OR($A320="",$E320=""),"",$E320+$D320)</f>
        <v/>
      </c>
      <c r="G320" s="8">
        <f>IF($F320="","",IF($F320&lt;TODAY(),"OVERDUE","ON TRACK"))</f>
        <v/>
      </c>
      <c r="H320" s="8">
        <f>IF($A320="","",IF(COUNTIFS('Blind Count Entry'!$C:$C,$A320,'Blind Count Entry'!$B:$B,"&gt;="&amp;DATE(YEAR(TODAY()),MONTH(TODAY()),1),'Blind Count Entry'!$B:$B,"&lt;="&amp;EOMONTH(TODAY(),0))&gt;0,"YES","NO"))</f>
        <v/>
      </c>
    </row>
    <row r="321">
      <c r="A321" s="8">
        <f>IF('Master Inventory'!A319="","",'Master Inventory'!A319)</f>
        <v/>
      </c>
      <c r="B321" s="8">
        <f>IF($A321="","",INDEX('Master Inventory'!$B:$B,MATCH($A321,'Master Inventory'!$A:$A,0)))</f>
        <v/>
      </c>
      <c r="C321" s="8">
        <f>IF($A321="","",IFERROR(INDEX('ABC Analysis'!$F:$F,MATCH($A321,'ABC Analysis'!$A:$A,0)),""))</f>
        <v/>
      </c>
      <c r="D321" s="8">
        <f>IF($C321="","",IF($C321="A",$K$1,IF($C321="B",$M$1,$O$1)))</f>
        <v/>
      </c>
      <c r="E321" s="12" t="n"/>
      <c r="F321" s="13">
        <f>IF(OR($A321="",$E321=""),"",$E321+$D321)</f>
        <v/>
      </c>
      <c r="G321" s="8">
        <f>IF($F321="","",IF($F321&lt;TODAY(),"OVERDUE","ON TRACK"))</f>
        <v/>
      </c>
      <c r="H321" s="8">
        <f>IF($A321="","",IF(COUNTIFS('Blind Count Entry'!$C:$C,$A321,'Blind Count Entry'!$B:$B,"&gt;="&amp;DATE(YEAR(TODAY()),MONTH(TODAY()),1),'Blind Count Entry'!$B:$B,"&lt;="&amp;EOMONTH(TODAY(),0))&gt;0,"YES","NO"))</f>
        <v/>
      </c>
    </row>
    <row r="322">
      <c r="A322" s="8">
        <f>IF('Master Inventory'!A320="","",'Master Inventory'!A320)</f>
        <v/>
      </c>
      <c r="B322" s="8">
        <f>IF($A322="","",INDEX('Master Inventory'!$B:$B,MATCH($A322,'Master Inventory'!$A:$A,0)))</f>
        <v/>
      </c>
      <c r="C322" s="8">
        <f>IF($A322="","",IFERROR(INDEX('ABC Analysis'!$F:$F,MATCH($A322,'ABC Analysis'!$A:$A,0)),""))</f>
        <v/>
      </c>
      <c r="D322" s="8">
        <f>IF($C322="","",IF($C322="A",$K$1,IF($C322="B",$M$1,$O$1)))</f>
        <v/>
      </c>
      <c r="E322" s="12" t="n"/>
      <c r="F322" s="13">
        <f>IF(OR($A322="",$E322=""),"",$E322+$D322)</f>
        <v/>
      </c>
      <c r="G322" s="8">
        <f>IF($F322="","",IF($F322&lt;TODAY(),"OVERDUE","ON TRACK"))</f>
        <v/>
      </c>
      <c r="H322" s="8">
        <f>IF($A322="","",IF(COUNTIFS('Blind Count Entry'!$C:$C,$A322,'Blind Count Entry'!$B:$B,"&gt;="&amp;DATE(YEAR(TODAY()),MONTH(TODAY()),1),'Blind Count Entry'!$B:$B,"&lt;="&amp;EOMONTH(TODAY(),0))&gt;0,"YES","NO"))</f>
        <v/>
      </c>
    </row>
    <row r="323">
      <c r="A323" s="8">
        <f>IF('Master Inventory'!A321="","",'Master Inventory'!A321)</f>
        <v/>
      </c>
      <c r="B323" s="8">
        <f>IF($A323="","",INDEX('Master Inventory'!$B:$B,MATCH($A323,'Master Inventory'!$A:$A,0)))</f>
        <v/>
      </c>
      <c r="C323" s="8">
        <f>IF($A323="","",IFERROR(INDEX('ABC Analysis'!$F:$F,MATCH($A323,'ABC Analysis'!$A:$A,0)),""))</f>
        <v/>
      </c>
      <c r="D323" s="8">
        <f>IF($C323="","",IF($C323="A",$K$1,IF($C323="B",$M$1,$O$1)))</f>
        <v/>
      </c>
      <c r="E323" s="12" t="n"/>
      <c r="F323" s="13">
        <f>IF(OR($A323="",$E323=""),"",$E323+$D323)</f>
        <v/>
      </c>
      <c r="G323" s="8">
        <f>IF($F323="","",IF($F323&lt;TODAY(),"OVERDUE","ON TRACK"))</f>
        <v/>
      </c>
      <c r="H323" s="8">
        <f>IF($A323="","",IF(COUNTIFS('Blind Count Entry'!$C:$C,$A323,'Blind Count Entry'!$B:$B,"&gt;="&amp;DATE(YEAR(TODAY()),MONTH(TODAY()),1),'Blind Count Entry'!$B:$B,"&lt;="&amp;EOMONTH(TODAY(),0))&gt;0,"YES","NO"))</f>
        <v/>
      </c>
    </row>
    <row r="324">
      <c r="A324" s="8">
        <f>IF('Master Inventory'!A322="","",'Master Inventory'!A322)</f>
        <v/>
      </c>
      <c r="B324" s="8">
        <f>IF($A324="","",INDEX('Master Inventory'!$B:$B,MATCH($A324,'Master Inventory'!$A:$A,0)))</f>
        <v/>
      </c>
      <c r="C324" s="8">
        <f>IF($A324="","",IFERROR(INDEX('ABC Analysis'!$F:$F,MATCH($A324,'ABC Analysis'!$A:$A,0)),""))</f>
        <v/>
      </c>
      <c r="D324" s="8">
        <f>IF($C324="","",IF($C324="A",$K$1,IF($C324="B",$M$1,$O$1)))</f>
        <v/>
      </c>
      <c r="E324" s="12" t="n"/>
      <c r="F324" s="13">
        <f>IF(OR($A324="",$E324=""),"",$E324+$D324)</f>
        <v/>
      </c>
      <c r="G324" s="8">
        <f>IF($F324="","",IF($F324&lt;TODAY(),"OVERDUE","ON TRACK"))</f>
        <v/>
      </c>
      <c r="H324" s="8">
        <f>IF($A324="","",IF(COUNTIFS('Blind Count Entry'!$C:$C,$A324,'Blind Count Entry'!$B:$B,"&gt;="&amp;DATE(YEAR(TODAY()),MONTH(TODAY()),1),'Blind Count Entry'!$B:$B,"&lt;="&amp;EOMONTH(TODAY(),0))&gt;0,"YES","NO"))</f>
        <v/>
      </c>
    </row>
    <row r="325">
      <c r="A325" s="8">
        <f>IF('Master Inventory'!A323="","",'Master Inventory'!A323)</f>
        <v/>
      </c>
      <c r="B325" s="8">
        <f>IF($A325="","",INDEX('Master Inventory'!$B:$B,MATCH($A325,'Master Inventory'!$A:$A,0)))</f>
        <v/>
      </c>
      <c r="C325" s="8">
        <f>IF($A325="","",IFERROR(INDEX('ABC Analysis'!$F:$F,MATCH($A325,'ABC Analysis'!$A:$A,0)),""))</f>
        <v/>
      </c>
      <c r="D325" s="8">
        <f>IF($C325="","",IF($C325="A",$K$1,IF($C325="B",$M$1,$O$1)))</f>
        <v/>
      </c>
      <c r="E325" s="12" t="n"/>
      <c r="F325" s="13">
        <f>IF(OR($A325="",$E325=""),"",$E325+$D325)</f>
        <v/>
      </c>
      <c r="G325" s="8">
        <f>IF($F325="","",IF($F325&lt;TODAY(),"OVERDUE","ON TRACK"))</f>
        <v/>
      </c>
      <c r="H325" s="8">
        <f>IF($A325="","",IF(COUNTIFS('Blind Count Entry'!$C:$C,$A325,'Blind Count Entry'!$B:$B,"&gt;="&amp;DATE(YEAR(TODAY()),MONTH(TODAY()),1),'Blind Count Entry'!$B:$B,"&lt;="&amp;EOMONTH(TODAY(),0))&gt;0,"YES","NO"))</f>
        <v/>
      </c>
    </row>
    <row r="326">
      <c r="A326" s="8">
        <f>IF('Master Inventory'!A324="","",'Master Inventory'!A324)</f>
        <v/>
      </c>
      <c r="B326" s="8">
        <f>IF($A326="","",INDEX('Master Inventory'!$B:$B,MATCH($A326,'Master Inventory'!$A:$A,0)))</f>
        <v/>
      </c>
      <c r="C326" s="8">
        <f>IF($A326="","",IFERROR(INDEX('ABC Analysis'!$F:$F,MATCH($A326,'ABC Analysis'!$A:$A,0)),""))</f>
        <v/>
      </c>
      <c r="D326" s="8">
        <f>IF($C326="","",IF($C326="A",$K$1,IF($C326="B",$M$1,$O$1)))</f>
        <v/>
      </c>
      <c r="E326" s="12" t="n"/>
      <c r="F326" s="13">
        <f>IF(OR($A326="",$E326=""),"",$E326+$D326)</f>
        <v/>
      </c>
      <c r="G326" s="8">
        <f>IF($F326="","",IF($F326&lt;TODAY(),"OVERDUE","ON TRACK"))</f>
        <v/>
      </c>
      <c r="H326" s="8">
        <f>IF($A326="","",IF(COUNTIFS('Blind Count Entry'!$C:$C,$A326,'Blind Count Entry'!$B:$B,"&gt;="&amp;DATE(YEAR(TODAY()),MONTH(TODAY()),1),'Blind Count Entry'!$B:$B,"&lt;="&amp;EOMONTH(TODAY(),0))&gt;0,"YES","NO"))</f>
        <v/>
      </c>
    </row>
    <row r="327">
      <c r="A327" s="8">
        <f>IF('Master Inventory'!A325="","",'Master Inventory'!A325)</f>
        <v/>
      </c>
      <c r="B327" s="8">
        <f>IF($A327="","",INDEX('Master Inventory'!$B:$B,MATCH($A327,'Master Inventory'!$A:$A,0)))</f>
        <v/>
      </c>
      <c r="C327" s="8">
        <f>IF($A327="","",IFERROR(INDEX('ABC Analysis'!$F:$F,MATCH($A327,'ABC Analysis'!$A:$A,0)),""))</f>
        <v/>
      </c>
      <c r="D327" s="8">
        <f>IF($C327="","",IF($C327="A",$K$1,IF($C327="B",$M$1,$O$1)))</f>
        <v/>
      </c>
      <c r="E327" s="12" t="n"/>
      <c r="F327" s="13">
        <f>IF(OR($A327="",$E327=""),"",$E327+$D327)</f>
        <v/>
      </c>
      <c r="G327" s="8">
        <f>IF($F327="","",IF($F327&lt;TODAY(),"OVERDUE","ON TRACK"))</f>
        <v/>
      </c>
      <c r="H327" s="8">
        <f>IF($A327="","",IF(COUNTIFS('Blind Count Entry'!$C:$C,$A327,'Blind Count Entry'!$B:$B,"&gt;="&amp;DATE(YEAR(TODAY()),MONTH(TODAY()),1),'Blind Count Entry'!$B:$B,"&lt;="&amp;EOMONTH(TODAY(),0))&gt;0,"YES","NO"))</f>
        <v/>
      </c>
    </row>
    <row r="328">
      <c r="A328" s="8">
        <f>IF('Master Inventory'!A326="","",'Master Inventory'!A326)</f>
        <v/>
      </c>
      <c r="B328" s="8">
        <f>IF($A328="","",INDEX('Master Inventory'!$B:$B,MATCH($A328,'Master Inventory'!$A:$A,0)))</f>
        <v/>
      </c>
      <c r="C328" s="8">
        <f>IF($A328="","",IFERROR(INDEX('ABC Analysis'!$F:$F,MATCH($A328,'ABC Analysis'!$A:$A,0)),""))</f>
        <v/>
      </c>
      <c r="D328" s="8">
        <f>IF($C328="","",IF($C328="A",$K$1,IF($C328="B",$M$1,$O$1)))</f>
        <v/>
      </c>
      <c r="E328" s="12" t="n"/>
      <c r="F328" s="13">
        <f>IF(OR($A328="",$E328=""),"",$E328+$D328)</f>
        <v/>
      </c>
      <c r="G328" s="8">
        <f>IF($F328="","",IF($F328&lt;TODAY(),"OVERDUE","ON TRACK"))</f>
        <v/>
      </c>
      <c r="H328" s="8">
        <f>IF($A328="","",IF(COUNTIFS('Blind Count Entry'!$C:$C,$A328,'Blind Count Entry'!$B:$B,"&gt;="&amp;DATE(YEAR(TODAY()),MONTH(TODAY()),1),'Blind Count Entry'!$B:$B,"&lt;="&amp;EOMONTH(TODAY(),0))&gt;0,"YES","NO"))</f>
        <v/>
      </c>
    </row>
    <row r="329">
      <c r="A329" s="8">
        <f>IF('Master Inventory'!A327="","",'Master Inventory'!A327)</f>
        <v/>
      </c>
      <c r="B329" s="8">
        <f>IF($A329="","",INDEX('Master Inventory'!$B:$B,MATCH($A329,'Master Inventory'!$A:$A,0)))</f>
        <v/>
      </c>
      <c r="C329" s="8">
        <f>IF($A329="","",IFERROR(INDEX('ABC Analysis'!$F:$F,MATCH($A329,'ABC Analysis'!$A:$A,0)),""))</f>
        <v/>
      </c>
      <c r="D329" s="8">
        <f>IF($C329="","",IF($C329="A",$K$1,IF($C329="B",$M$1,$O$1)))</f>
        <v/>
      </c>
      <c r="E329" s="12" t="n"/>
      <c r="F329" s="13">
        <f>IF(OR($A329="",$E329=""),"",$E329+$D329)</f>
        <v/>
      </c>
      <c r="G329" s="8">
        <f>IF($F329="","",IF($F329&lt;TODAY(),"OVERDUE","ON TRACK"))</f>
        <v/>
      </c>
      <c r="H329" s="8">
        <f>IF($A329="","",IF(COUNTIFS('Blind Count Entry'!$C:$C,$A329,'Blind Count Entry'!$B:$B,"&gt;="&amp;DATE(YEAR(TODAY()),MONTH(TODAY()),1),'Blind Count Entry'!$B:$B,"&lt;="&amp;EOMONTH(TODAY(),0))&gt;0,"YES","NO"))</f>
        <v/>
      </c>
    </row>
    <row r="330">
      <c r="A330" s="8">
        <f>IF('Master Inventory'!A328="","",'Master Inventory'!A328)</f>
        <v/>
      </c>
      <c r="B330" s="8">
        <f>IF($A330="","",INDEX('Master Inventory'!$B:$B,MATCH($A330,'Master Inventory'!$A:$A,0)))</f>
        <v/>
      </c>
      <c r="C330" s="8">
        <f>IF($A330="","",IFERROR(INDEX('ABC Analysis'!$F:$F,MATCH($A330,'ABC Analysis'!$A:$A,0)),""))</f>
        <v/>
      </c>
      <c r="D330" s="8">
        <f>IF($C330="","",IF($C330="A",$K$1,IF($C330="B",$M$1,$O$1)))</f>
        <v/>
      </c>
      <c r="E330" s="12" t="n"/>
      <c r="F330" s="13">
        <f>IF(OR($A330="",$E330=""),"",$E330+$D330)</f>
        <v/>
      </c>
      <c r="G330" s="8">
        <f>IF($F330="","",IF($F330&lt;TODAY(),"OVERDUE","ON TRACK"))</f>
        <v/>
      </c>
      <c r="H330" s="8">
        <f>IF($A330="","",IF(COUNTIFS('Blind Count Entry'!$C:$C,$A330,'Blind Count Entry'!$B:$B,"&gt;="&amp;DATE(YEAR(TODAY()),MONTH(TODAY()),1),'Blind Count Entry'!$B:$B,"&lt;="&amp;EOMONTH(TODAY(),0))&gt;0,"YES","NO"))</f>
        <v/>
      </c>
    </row>
    <row r="331">
      <c r="A331" s="8">
        <f>IF('Master Inventory'!A329="","",'Master Inventory'!A329)</f>
        <v/>
      </c>
      <c r="B331" s="8">
        <f>IF($A331="","",INDEX('Master Inventory'!$B:$B,MATCH($A331,'Master Inventory'!$A:$A,0)))</f>
        <v/>
      </c>
      <c r="C331" s="8">
        <f>IF($A331="","",IFERROR(INDEX('ABC Analysis'!$F:$F,MATCH($A331,'ABC Analysis'!$A:$A,0)),""))</f>
        <v/>
      </c>
      <c r="D331" s="8">
        <f>IF($C331="","",IF($C331="A",$K$1,IF($C331="B",$M$1,$O$1)))</f>
        <v/>
      </c>
      <c r="E331" s="12" t="n"/>
      <c r="F331" s="13">
        <f>IF(OR($A331="",$E331=""),"",$E331+$D331)</f>
        <v/>
      </c>
      <c r="G331" s="8">
        <f>IF($F331="","",IF($F331&lt;TODAY(),"OVERDUE","ON TRACK"))</f>
        <v/>
      </c>
      <c r="H331" s="8">
        <f>IF($A331="","",IF(COUNTIFS('Blind Count Entry'!$C:$C,$A331,'Blind Count Entry'!$B:$B,"&gt;="&amp;DATE(YEAR(TODAY()),MONTH(TODAY()),1),'Blind Count Entry'!$B:$B,"&lt;="&amp;EOMONTH(TODAY(),0))&gt;0,"YES","NO"))</f>
        <v/>
      </c>
    </row>
    <row r="332">
      <c r="A332" s="8">
        <f>IF('Master Inventory'!A330="","",'Master Inventory'!A330)</f>
        <v/>
      </c>
      <c r="B332" s="8">
        <f>IF($A332="","",INDEX('Master Inventory'!$B:$B,MATCH($A332,'Master Inventory'!$A:$A,0)))</f>
        <v/>
      </c>
      <c r="C332" s="8">
        <f>IF($A332="","",IFERROR(INDEX('ABC Analysis'!$F:$F,MATCH($A332,'ABC Analysis'!$A:$A,0)),""))</f>
        <v/>
      </c>
      <c r="D332" s="8">
        <f>IF($C332="","",IF($C332="A",$K$1,IF($C332="B",$M$1,$O$1)))</f>
        <v/>
      </c>
      <c r="E332" s="12" t="n"/>
      <c r="F332" s="13">
        <f>IF(OR($A332="",$E332=""),"",$E332+$D332)</f>
        <v/>
      </c>
      <c r="G332" s="8">
        <f>IF($F332="","",IF($F332&lt;TODAY(),"OVERDUE","ON TRACK"))</f>
        <v/>
      </c>
      <c r="H332" s="8">
        <f>IF($A332="","",IF(COUNTIFS('Blind Count Entry'!$C:$C,$A332,'Blind Count Entry'!$B:$B,"&gt;="&amp;DATE(YEAR(TODAY()),MONTH(TODAY()),1),'Blind Count Entry'!$B:$B,"&lt;="&amp;EOMONTH(TODAY(),0))&gt;0,"YES","NO"))</f>
        <v/>
      </c>
    </row>
    <row r="333">
      <c r="A333" s="8">
        <f>IF('Master Inventory'!A331="","",'Master Inventory'!A331)</f>
        <v/>
      </c>
      <c r="B333" s="8">
        <f>IF($A333="","",INDEX('Master Inventory'!$B:$B,MATCH($A333,'Master Inventory'!$A:$A,0)))</f>
        <v/>
      </c>
      <c r="C333" s="8">
        <f>IF($A333="","",IFERROR(INDEX('ABC Analysis'!$F:$F,MATCH($A333,'ABC Analysis'!$A:$A,0)),""))</f>
        <v/>
      </c>
      <c r="D333" s="8">
        <f>IF($C333="","",IF($C333="A",$K$1,IF($C333="B",$M$1,$O$1)))</f>
        <v/>
      </c>
      <c r="E333" s="12" t="n"/>
      <c r="F333" s="13">
        <f>IF(OR($A333="",$E333=""),"",$E333+$D333)</f>
        <v/>
      </c>
      <c r="G333" s="8">
        <f>IF($F333="","",IF($F333&lt;TODAY(),"OVERDUE","ON TRACK"))</f>
        <v/>
      </c>
      <c r="H333" s="8">
        <f>IF($A333="","",IF(COUNTIFS('Blind Count Entry'!$C:$C,$A333,'Blind Count Entry'!$B:$B,"&gt;="&amp;DATE(YEAR(TODAY()),MONTH(TODAY()),1),'Blind Count Entry'!$B:$B,"&lt;="&amp;EOMONTH(TODAY(),0))&gt;0,"YES","NO"))</f>
        <v/>
      </c>
    </row>
    <row r="334">
      <c r="A334" s="8">
        <f>IF('Master Inventory'!A332="","",'Master Inventory'!A332)</f>
        <v/>
      </c>
      <c r="B334" s="8">
        <f>IF($A334="","",INDEX('Master Inventory'!$B:$B,MATCH($A334,'Master Inventory'!$A:$A,0)))</f>
        <v/>
      </c>
      <c r="C334" s="8">
        <f>IF($A334="","",IFERROR(INDEX('ABC Analysis'!$F:$F,MATCH($A334,'ABC Analysis'!$A:$A,0)),""))</f>
        <v/>
      </c>
      <c r="D334" s="8">
        <f>IF($C334="","",IF($C334="A",$K$1,IF($C334="B",$M$1,$O$1)))</f>
        <v/>
      </c>
      <c r="E334" s="12" t="n"/>
      <c r="F334" s="13">
        <f>IF(OR($A334="",$E334=""),"",$E334+$D334)</f>
        <v/>
      </c>
      <c r="G334" s="8">
        <f>IF($F334="","",IF($F334&lt;TODAY(),"OVERDUE","ON TRACK"))</f>
        <v/>
      </c>
      <c r="H334" s="8">
        <f>IF($A334="","",IF(COUNTIFS('Blind Count Entry'!$C:$C,$A334,'Blind Count Entry'!$B:$B,"&gt;="&amp;DATE(YEAR(TODAY()),MONTH(TODAY()),1),'Blind Count Entry'!$B:$B,"&lt;="&amp;EOMONTH(TODAY(),0))&gt;0,"YES","NO"))</f>
        <v/>
      </c>
    </row>
    <row r="335">
      <c r="A335" s="8">
        <f>IF('Master Inventory'!A333="","",'Master Inventory'!A333)</f>
        <v/>
      </c>
      <c r="B335" s="8">
        <f>IF($A335="","",INDEX('Master Inventory'!$B:$B,MATCH($A335,'Master Inventory'!$A:$A,0)))</f>
        <v/>
      </c>
      <c r="C335" s="8">
        <f>IF($A335="","",IFERROR(INDEX('ABC Analysis'!$F:$F,MATCH($A335,'ABC Analysis'!$A:$A,0)),""))</f>
        <v/>
      </c>
      <c r="D335" s="8">
        <f>IF($C335="","",IF($C335="A",$K$1,IF($C335="B",$M$1,$O$1)))</f>
        <v/>
      </c>
      <c r="E335" s="12" t="n"/>
      <c r="F335" s="13">
        <f>IF(OR($A335="",$E335=""),"",$E335+$D335)</f>
        <v/>
      </c>
      <c r="G335" s="8">
        <f>IF($F335="","",IF($F335&lt;TODAY(),"OVERDUE","ON TRACK"))</f>
        <v/>
      </c>
      <c r="H335" s="8">
        <f>IF($A335="","",IF(COUNTIFS('Blind Count Entry'!$C:$C,$A335,'Blind Count Entry'!$B:$B,"&gt;="&amp;DATE(YEAR(TODAY()),MONTH(TODAY()),1),'Blind Count Entry'!$B:$B,"&lt;="&amp;EOMONTH(TODAY(),0))&gt;0,"YES","NO"))</f>
        <v/>
      </c>
    </row>
    <row r="336">
      <c r="A336" s="8">
        <f>IF('Master Inventory'!A334="","",'Master Inventory'!A334)</f>
        <v/>
      </c>
      <c r="B336" s="8">
        <f>IF($A336="","",INDEX('Master Inventory'!$B:$B,MATCH($A336,'Master Inventory'!$A:$A,0)))</f>
        <v/>
      </c>
      <c r="C336" s="8">
        <f>IF($A336="","",IFERROR(INDEX('ABC Analysis'!$F:$F,MATCH($A336,'ABC Analysis'!$A:$A,0)),""))</f>
        <v/>
      </c>
      <c r="D336" s="8">
        <f>IF($C336="","",IF($C336="A",$K$1,IF($C336="B",$M$1,$O$1)))</f>
        <v/>
      </c>
      <c r="E336" s="12" t="n"/>
      <c r="F336" s="13">
        <f>IF(OR($A336="",$E336=""),"",$E336+$D336)</f>
        <v/>
      </c>
      <c r="G336" s="8">
        <f>IF($F336="","",IF($F336&lt;TODAY(),"OVERDUE","ON TRACK"))</f>
        <v/>
      </c>
      <c r="H336" s="8">
        <f>IF($A336="","",IF(COUNTIFS('Blind Count Entry'!$C:$C,$A336,'Blind Count Entry'!$B:$B,"&gt;="&amp;DATE(YEAR(TODAY()),MONTH(TODAY()),1),'Blind Count Entry'!$B:$B,"&lt;="&amp;EOMONTH(TODAY(),0))&gt;0,"YES","NO"))</f>
        <v/>
      </c>
    </row>
    <row r="337">
      <c r="A337" s="8">
        <f>IF('Master Inventory'!A335="","",'Master Inventory'!A335)</f>
        <v/>
      </c>
      <c r="B337" s="8">
        <f>IF($A337="","",INDEX('Master Inventory'!$B:$B,MATCH($A337,'Master Inventory'!$A:$A,0)))</f>
        <v/>
      </c>
      <c r="C337" s="8">
        <f>IF($A337="","",IFERROR(INDEX('ABC Analysis'!$F:$F,MATCH($A337,'ABC Analysis'!$A:$A,0)),""))</f>
        <v/>
      </c>
      <c r="D337" s="8">
        <f>IF($C337="","",IF($C337="A",$K$1,IF($C337="B",$M$1,$O$1)))</f>
        <v/>
      </c>
      <c r="E337" s="12" t="n"/>
      <c r="F337" s="13">
        <f>IF(OR($A337="",$E337=""),"",$E337+$D337)</f>
        <v/>
      </c>
      <c r="G337" s="8">
        <f>IF($F337="","",IF($F337&lt;TODAY(),"OVERDUE","ON TRACK"))</f>
        <v/>
      </c>
      <c r="H337" s="8">
        <f>IF($A337="","",IF(COUNTIFS('Blind Count Entry'!$C:$C,$A337,'Blind Count Entry'!$B:$B,"&gt;="&amp;DATE(YEAR(TODAY()),MONTH(TODAY()),1),'Blind Count Entry'!$B:$B,"&lt;="&amp;EOMONTH(TODAY(),0))&gt;0,"YES","NO"))</f>
        <v/>
      </c>
    </row>
    <row r="338">
      <c r="A338" s="8">
        <f>IF('Master Inventory'!A336="","",'Master Inventory'!A336)</f>
        <v/>
      </c>
      <c r="B338" s="8">
        <f>IF($A338="","",INDEX('Master Inventory'!$B:$B,MATCH($A338,'Master Inventory'!$A:$A,0)))</f>
        <v/>
      </c>
      <c r="C338" s="8">
        <f>IF($A338="","",IFERROR(INDEX('ABC Analysis'!$F:$F,MATCH($A338,'ABC Analysis'!$A:$A,0)),""))</f>
        <v/>
      </c>
      <c r="D338" s="8">
        <f>IF($C338="","",IF($C338="A",$K$1,IF($C338="B",$M$1,$O$1)))</f>
        <v/>
      </c>
      <c r="E338" s="12" t="n"/>
      <c r="F338" s="13">
        <f>IF(OR($A338="",$E338=""),"",$E338+$D338)</f>
        <v/>
      </c>
      <c r="G338" s="8">
        <f>IF($F338="","",IF($F338&lt;TODAY(),"OVERDUE","ON TRACK"))</f>
        <v/>
      </c>
      <c r="H338" s="8">
        <f>IF($A338="","",IF(COUNTIFS('Blind Count Entry'!$C:$C,$A338,'Blind Count Entry'!$B:$B,"&gt;="&amp;DATE(YEAR(TODAY()),MONTH(TODAY()),1),'Blind Count Entry'!$B:$B,"&lt;="&amp;EOMONTH(TODAY(),0))&gt;0,"YES","NO"))</f>
        <v/>
      </c>
    </row>
    <row r="339">
      <c r="A339" s="8">
        <f>IF('Master Inventory'!A337="","",'Master Inventory'!A337)</f>
        <v/>
      </c>
      <c r="B339" s="8">
        <f>IF($A339="","",INDEX('Master Inventory'!$B:$B,MATCH($A339,'Master Inventory'!$A:$A,0)))</f>
        <v/>
      </c>
      <c r="C339" s="8">
        <f>IF($A339="","",IFERROR(INDEX('ABC Analysis'!$F:$F,MATCH($A339,'ABC Analysis'!$A:$A,0)),""))</f>
        <v/>
      </c>
      <c r="D339" s="8">
        <f>IF($C339="","",IF($C339="A",$K$1,IF($C339="B",$M$1,$O$1)))</f>
        <v/>
      </c>
      <c r="E339" s="12" t="n"/>
      <c r="F339" s="13">
        <f>IF(OR($A339="",$E339=""),"",$E339+$D339)</f>
        <v/>
      </c>
      <c r="G339" s="8">
        <f>IF($F339="","",IF($F339&lt;TODAY(),"OVERDUE","ON TRACK"))</f>
        <v/>
      </c>
      <c r="H339" s="8">
        <f>IF($A339="","",IF(COUNTIFS('Blind Count Entry'!$C:$C,$A339,'Blind Count Entry'!$B:$B,"&gt;="&amp;DATE(YEAR(TODAY()),MONTH(TODAY()),1),'Blind Count Entry'!$B:$B,"&lt;="&amp;EOMONTH(TODAY(),0))&gt;0,"YES","NO"))</f>
        <v/>
      </c>
    </row>
    <row r="340">
      <c r="A340" s="8">
        <f>IF('Master Inventory'!A338="","",'Master Inventory'!A338)</f>
        <v/>
      </c>
      <c r="B340" s="8">
        <f>IF($A340="","",INDEX('Master Inventory'!$B:$B,MATCH($A340,'Master Inventory'!$A:$A,0)))</f>
        <v/>
      </c>
      <c r="C340" s="8">
        <f>IF($A340="","",IFERROR(INDEX('ABC Analysis'!$F:$F,MATCH($A340,'ABC Analysis'!$A:$A,0)),""))</f>
        <v/>
      </c>
      <c r="D340" s="8">
        <f>IF($C340="","",IF($C340="A",$K$1,IF($C340="B",$M$1,$O$1)))</f>
        <v/>
      </c>
      <c r="E340" s="12" t="n"/>
      <c r="F340" s="13">
        <f>IF(OR($A340="",$E340=""),"",$E340+$D340)</f>
        <v/>
      </c>
      <c r="G340" s="8">
        <f>IF($F340="","",IF($F340&lt;TODAY(),"OVERDUE","ON TRACK"))</f>
        <v/>
      </c>
      <c r="H340" s="8">
        <f>IF($A340="","",IF(COUNTIFS('Blind Count Entry'!$C:$C,$A340,'Blind Count Entry'!$B:$B,"&gt;="&amp;DATE(YEAR(TODAY()),MONTH(TODAY()),1),'Blind Count Entry'!$B:$B,"&lt;="&amp;EOMONTH(TODAY(),0))&gt;0,"YES","NO"))</f>
        <v/>
      </c>
    </row>
    <row r="341">
      <c r="A341" s="8">
        <f>IF('Master Inventory'!A339="","",'Master Inventory'!A339)</f>
        <v/>
      </c>
      <c r="B341" s="8">
        <f>IF($A341="","",INDEX('Master Inventory'!$B:$B,MATCH($A341,'Master Inventory'!$A:$A,0)))</f>
        <v/>
      </c>
      <c r="C341" s="8">
        <f>IF($A341="","",IFERROR(INDEX('ABC Analysis'!$F:$F,MATCH($A341,'ABC Analysis'!$A:$A,0)),""))</f>
        <v/>
      </c>
      <c r="D341" s="8">
        <f>IF($C341="","",IF($C341="A",$K$1,IF($C341="B",$M$1,$O$1)))</f>
        <v/>
      </c>
      <c r="E341" s="12" t="n"/>
      <c r="F341" s="13">
        <f>IF(OR($A341="",$E341=""),"",$E341+$D341)</f>
        <v/>
      </c>
      <c r="G341" s="8">
        <f>IF($F341="","",IF($F341&lt;TODAY(),"OVERDUE","ON TRACK"))</f>
        <v/>
      </c>
      <c r="H341" s="8">
        <f>IF($A341="","",IF(COUNTIFS('Blind Count Entry'!$C:$C,$A341,'Blind Count Entry'!$B:$B,"&gt;="&amp;DATE(YEAR(TODAY()),MONTH(TODAY()),1),'Blind Count Entry'!$B:$B,"&lt;="&amp;EOMONTH(TODAY(),0))&gt;0,"YES","NO"))</f>
        <v/>
      </c>
    </row>
    <row r="342">
      <c r="A342" s="8">
        <f>IF('Master Inventory'!A340="","",'Master Inventory'!A340)</f>
        <v/>
      </c>
      <c r="B342" s="8">
        <f>IF($A342="","",INDEX('Master Inventory'!$B:$B,MATCH($A342,'Master Inventory'!$A:$A,0)))</f>
        <v/>
      </c>
      <c r="C342" s="8">
        <f>IF($A342="","",IFERROR(INDEX('ABC Analysis'!$F:$F,MATCH($A342,'ABC Analysis'!$A:$A,0)),""))</f>
        <v/>
      </c>
      <c r="D342" s="8">
        <f>IF($C342="","",IF($C342="A",$K$1,IF($C342="B",$M$1,$O$1)))</f>
        <v/>
      </c>
      <c r="E342" s="12" t="n"/>
      <c r="F342" s="13">
        <f>IF(OR($A342="",$E342=""),"",$E342+$D342)</f>
        <v/>
      </c>
      <c r="G342" s="8">
        <f>IF($F342="","",IF($F342&lt;TODAY(),"OVERDUE","ON TRACK"))</f>
        <v/>
      </c>
      <c r="H342" s="8">
        <f>IF($A342="","",IF(COUNTIFS('Blind Count Entry'!$C:$C,$A342,'Blind Count Entry'!$B:$B,"&gt;="&amp;DATE(YEAR(TODAY()),MONTH(TODAY()),1),'Blind Count Entry'!$B:$B,"&lt;="&amp;EOMONTH(TODAY(),0))&gt;0,"YES","NO"))</f>
        <v/>
      </c>
    </row>
    <row r="343">
      <c r="A343" s="8">
        <f>IF('Master Inventory'!A341="","",'Master Inventory'!A341)</f>
        <v/>
      </c>
      <c r="B343" s="8">
        <f>IF($A343="","",INDEX('Master Inventory'!$B:$B,MATCH($A343,'Master Inventory'!$A:$A,0)))</f>
        <v/>
      </c>
      <c r="C343" s="8">
        <f>IF($A343="","",IFERROR(INDEX('ABC Analysis'!$F:$F,MATCH($A343,'ABC Analysis'!$A:$A,0)),""))</f>
        <v/>
      </c>
      <c r="D343" s="8">
        <f>IF($C343="","",IF($C343="A",$K$1,IF($C343="B",$M$1,$O$1)))</f>
        <v/>
      </c>
      <c r="E343" s="12" t="n"/>
      <c r="F343" s="13">
        <f>IF(OR($A343="",$E343=""),"",$E343+$D343)</f>
        <v/>
      </c>
      <c r="G343" s="8">
        <f>IF($F343="","",IF($F343&lt;TODAY(),"OVERDUE","ON TRACK"))</f>
        <v/>
      </c>
      <c r="H343" s="8">
        <f>IF($A343="","",IF(COUNTIFS('Blind Count Entry'!$C:$C,$A343,'Blind Count Entry'!$B:$B,"&gt;="&amp;DATE(YEAR(TODAY()),MONTH(TODAY()),1),'Blind Count Entry'!$B:$B,"&lt;="&amp;EOMONTH(TODAY(),0))&gt;0,"YES","NO"))</f>
        <v/>
      </c>
    </row>
    <row r="344">
      <c r="A344" s="8">
        <f>IF('Master Inventory'!A342="","",'Master Inventory'!A342)</f>
        <v/>
      </c>
      <c r="B344" s="8">
        <f>IF($A344="","",INDEX('Master Inventory'!$B:$B,MATCH($A344,'Master Inventory'!$A:$A,0)))</f>
        <v/>
      </c>
      <c r="C344" s="8">
        <f>IF($A344="","",IFERROR(INDEX('ABC Analysis'!$F:$F,MATCH($A344,'ABC Analysis'!$A:$A,0)),""))</f>
        <v/>
      </c>
      <c r="D344" s="8">
        <f>IF($C344="","",IF($C344="A",$K$1,IF($C344="B",$M$1,$O$1)))</f>
        <v/>
      </c>
      <c r="E344" s="12" t="n"/>
      <c r="F344" s="13">
        <f>IF(OR($A344="",$E344=""),"",$E344+$D344)</f>
        <v/>
      </c>
      <c r="G344" s="8">
        <f>IF($F344="","",IF($F344&lt;TODAY(),"OVERDUE","ON TRACK"))</f>
        <v/>
      </c>
      <c r="H344" s="8">
        <f>IF($A344="","",IF(COUNTIFS('Blind Count Entry'!$C:$C,$A344,'Blind Count Entry'!$B:$B,"&gt;="&amp;DATE(YEAR(TODAY()),MONTH(TODAY()),1),'Blind Count Entry'!$B:$B,"&lt;="&amp;EOMONTH(TODAY(),0))&gt;0,"YES","NO"))</f>
        <v/>
      </c>
    </row>
    <row r="345">
      <c r="A345" s="8">
        <f>IF('Master Inventory'!A343="","",'Master Inventory'!A343)</f>
        <v/>
      </c>
      <c r="B345" s="8">
        <f>IF($A345="","",INDEX('Master Inventory'!$B:$B,MATCH($A345,'Master Inventory'!$A:$A,0)))</f>
        <v/>
      </c>
      <c r="C345" s="8">
        <f>IF($A345="","",IFERROR(INDEX('ABC Analysis'!$F:$F,MATCH($A345,'ABC Analysis'!$A:$A,0)),""))</f>
        <v/>
      </c>
      <c r="D345" s="8">
        <f>IF($C345="","",IF($C345="A",$K$1,IF($C345="B",$M$1,$O$1)))</f>
        <v/>
      </c>
      <c r="E345" s="12" t="n"/>
      <c r="F345" s="13">
        <f>IF(OR($A345="",$E345=""),"",$E345+$D345)</f>
        <v/>
      </c>
      <c r="G345" s="8">
        <f>IF($F345="","",IF($F345&lt;TODAY(),"OVERDUE","ON TRACK"))</f>
        <v/>
      </c>
      <c r="H345" s="8">
        <f>IF($A345="","",IF(COUNTIFS('Blind Count Entry'!$C:$C,$A345,'Blind Count Entry'!$B:$B,"&gt;="&amp;DATE(YEAR(TODAY()),MONTH(TODAY()),1),'Blind Count Entry'!$B:$B,"&lt;="&amp;EOMONTH(TODAY(),0))&gt;0,"YES","NO"))</f>
        <v/>
      </c>
    </row>
    <row r="346">
      <c r="A346" s="8">
        <f>IF('Master Inventory'!A344="","",'Master Inventory'!A344)</f>
        <v/>
      </c>
      <c r="B346" s="8">
        <f>IF($A346="","",INDEX('Master Inventory'!$B:$B,MATCH($A346,'Master Inventory'!$A:$A,0)))</f>
        <v/>
      </c>
      <c r="C346" s="8">
        <f>IF($A346="","",IFERROR(INDEX('ABC Analysis'!$F:$F,MATCH($A346,'ABC Analysis'!$A:$A,0)),""))</f>
        <v/>
      </c>
      <c r="D346" s="8">
        <f>IF($C346="","",IF($C346="A",$K$1,IF($C346="B",$M$1,$O$1)))</f>
        <v/>
      </c>
      <c r="E346" s="12" t="n"/>
      <c r="F346" s="13">
        <f>IF(OR($A346="",$E346=""),"",$E346+$D346)</f>
        <v/>
      </c>
      <c r="G346" s="8">
        <f>IF($F346="","",IF($F346&lt;TODAY(),"OVERDUE","ON TRACK"))</f>
        <v/>
      </c>
      <c r="H346" s="8">
        <f>IF($A346="","",IF(COUNTIFS('Blind Count Entry'!$C:$C,$A346,'Blind Count Entry'!$B:$B,"&gt;="&amp;DATE(YEAR(TODAY()),MONTH(TODAY()),1),'Blind Count Entry'!$B:$B,"&lt;="&amp;EOMONTH(TODAY(),0))&gt;0,"YES","NO"))</f>
        <v/>
      </c>
    </row>
    <row r="347">
      <c r="A347" s="8">
        <f>IF('Master Inventory'!A345="","",'Master Inventory'!A345)</f>
        <v/>
      </c>
      <c r="B347" s="8">
        <f>IF($A347="","",INDEX('Master Inventory'!$B:$B,MATCH($A347,'Master Inventory'!$A:$A,0)))</f>
        <v/>
      </c>
      <c r="C347" s="8">
        <f>IF($A347="","",IFERROR(INDEX('ABC Analysis'!$F:$F,MATCH($A347,'ABC Analysis'!$A:$A,0)),""))</f>
        <v/>
      </c>
      <c r="D347" s="8">
        <f>IF($C347="","",IF($C347="A",$K$1,IF($C347="B",$M$1,$O$1)))</f>
        <v/>
      </c>
      <c r="E347" s="12" t="n"/>
      <c r="F347" s="13">
        <f>IF(OR($A347="",$E347=""),"",$E347+$D347)</f>
        <v/>
      </c>
      <c r="G347" s="8">
        <f>IF($F347="","",IF($F347&lt;TODAY(),"OVERDUE","ON TRACK"))</f>
        <v/>
      </c>
      <c r="H347" s="8">
        <f>IF($A347="","",IF(COUNTIFS('Blind Count Entry'!$C:$C,$A347,'Blind Count Entry'!$B:$B,"&gt;="&amp;DATE(YEAR(TODAY()),MONTH(TODAY()),1),'Blind Count Entry'!$B:$B,"&lt;="&amp;EOMONTH(TODAY(),0))&gt;0,"YES","NO"))</f>
        <v/>
      </c>
    </row>
    <row r="348">
      <c r="A348" s="8">
        <f>IF('Master Inventory'!A346="","",'Master Inventory'!A346)</f>
        <v/>
      </c>
      <c r="B348" s="8">
        <f>IF($A348="","",INDEX('Master Inventory'!$B:$B,MATCH($A348,'Master Inventory'!$A:$A,0)))</f>
        <v/>
      </c>
      <c r="C348" s="8">
        <f>IF($A348="","",IFERROR(INDEX('ABC Analysis'!$F:$F,MATCH($A348,'ABC Analysis'!$A:$A,0)),""))</f>
        <v/>
      </c>
      <c r="D348" s="8">
        <f>IF($C348="","",IF($C348="A",$K$1,IF($C348="B",$M$1,$O$1)))</f>
        <v/>
      </c>
      <c r="E348" s="12" t="n"/>
      <c r="F348" s="13">
        <f>IF(OR($A348="",$E348=""),"",$E348+$D348)</f>
        <v/>
      </c>
      <c r="G348" s="8">
        <f>IF($F348="","",IF($F348&lt;TODAY(),"OVERDUE","ON TRACK"))</f>
        <v/>
      </c>
      <c r="H348" s="8">
        <f>IF($A348="","",IF(COUNTIFS('Blind Count Entry'!$C:$C,$A348,'Blind Count Entry'!$B:$B,"&gt;="&amp;DATE(YEAR(TODAY()),MONTH(TODAY()),1),'Blind Count Entry'!$B:$B,"&lt;="&amp;EOMONTH(TODAY(),0))&gt;0,"YES","NO"))</f>
        <v/>
      </c>
    </row>
    <row r="349">
      <c r="A349" s="8">
        <f>IF('Master Inventory'!A347="","",'Master Inventory'!A347)</f>
        <v/>
      </c>
      <c r="B349" s="8">
        <f>IF($A349="","",INDEX('Master Inventory'!$B:$B,MATCH($A349,'Master Inventory'!$A:$A,0)))</f>
        <v/>
      </c>
      <c r="C349" s="8">
        <f>IF($A349="","",IFERROR(INDEX('ABC Analysis'!$F:$F,MATCH($A349,'ABC Analysis'!$A:$A,0)),""))</f>
        <v/>
      </c>
      <c r="D349" s="8">
        <f>IF($C349="","",IF($C349="A",$K$1,IF($C349="B",$M$1,$O$1)))</f>
        <v/>
      </c>
      <c r="E349" s="12" t="n"/>
      <c r="F349" s="13">
        <f>IF(OR($A349="",$E349=""),"",$E349+$D349)</f>
        <v/>
      </c>
      <c r="G349" s="8">
        <f>IF($F349="","",IF($F349&lt;TODAY(),"OVERDUE","ON TRACK"))</f>
        <v/>
      </c>
      <c r="H349" s="8">
        <f>IF($A349="","",IF(COUNTIFS('Blind Count Entry'!$C:$C,$A349,'Blind Count Entry'!$B:$B,"&gt;="&amp;DATE(YEAR(TODAY()),MONTH(TODAY()),1),'Blind Count Entry'!$B:$B,"&lt;="&amp;EOMONTH(TODAY(),0))&gt;0,"YES","NO"))</f>
        <v/>
      </c>
    </row>
    <row r="350">
      <c r="A350" s="8">
        <f>IF('Master Inventory'!A348="","",'Master Inventory'!A348)</f>
        <v/>
      </c>
      <c r="B350" s="8">
        <f>IF($A350="","",INDEX('Master Inventory'!$B:$B,MATCH($A350,'Master Inventory'!$A:$A,0)))</f>
        <v/>
      </c>
      <c r="C350" s="8">
        <f>IF($A350="","",IFERROR(INDEX('ABC Analysis'!$F:$F,MATCH($A350,'ABC Analysis'!$A:$A,0)),""))</f>
        <v/>
      </c>
      <c r="D350" s="8">
        <f>IF($C350="","",IF($C350="A",$K$1,IF($C350="B",$M$1,$O$1)))</f>
        <v/>
      </c>
      <c r="E350" s="12" t="n"/>
      <c r="F350" s="13">
        <f>IF(OR($A350="",$E350=""),"",$E350+$D350)</f>
        <v/>
      </c>
      <c r="G350" s="8">
        <f>IF($F350="","",IF($F350&lt;TODAY(),"OVERDUE","ON TRACK"))</f>
        <v/>
      </c>
      <c r="H350" s="8">
        <f>IF($A350="","",IF(COUNTIFS('Blind Count Entry'!$C:$C,$A350,'Blind Count Entry'!$B:$B,"&gt;="&amp;DATE(YEAR(TODAY()),MONTH(TODAY()),1),'Blind Count Entry'!$B:$B,"&lt;="&amp;EOMONTH(TODAY(),0))&gt;0,"YES","NO"))</f>
        <v/>
      </c>
    </row>
    <row r="351">
      <c r="A351" s="8">
        <f>IF('Master Inventory'!A349="","",'Master Inventory'!A349)</f>
        <v/>
      </c>
      <c r="B351" s="8">
        <f>IF($A351="","",INDEX('Master Inventory'!$B:$B,MATCH($A351,'Master Inventory'!$A:$A,0)))</f>
        <v/>
      </c>
      <c r="C351" s="8">
        <f>IF($A351="","",IFERROR(INDEX('ABC Analysis'!$F:$F,MATCH($A351,'ABC Analysis'!$A:$A,0)),""))</f>
        <v/>
      </c>
      <c r="D351" s="8">
        <f>IF($C351="","",IF($C351="A",$K$1,IF($C351="B",$M$1,$O$1)))</f>
        <v/>
      </c>
      <c r="E351" s="12" t="n"/>
      <c r="F351" s="13">
        <f>IF(OR($A351="",$E351=""),"",$E351+$D351)</f>
        <v/>
      </c>
      <c r="G351" s="8">
        <f>IF($F351="","",IF($F351&lt;TODAY(),"OVERDUE","ON TRACK"))</f>
        <v/>
      </c>
      <c r="H351" s="8">
        <f>IF($A351="","",IF(COUNTIFS('Blind Count Entry'!$C:$C,$A351,'Blind Count Entry'!$B:$B,"&gt;="&amp;DATE(YEAR(TODAY()),MONTH(TODAY()),1),'Blind Count Entry'!$B:$B,"&lt;="&amp;EOMONTH(TODAY(),0))&gt;0,"YES","NO"))</f>
        <v/>
      </c>
    </row>
    <row r="352">
      <c r="A352" s="8">
        <f>IF('Master Inventory'!A350="","",'Master Inventory'!A350)</f>
        <v/>
      </c>
      <c r="B352" s="8">
        <f>IF($A352="","",INDEX('Master Inventory'!$B:$B,MATCH($A352,'Master Inventory'!$A:$A,0)))</f>
        <v/>
      </c>
      <c r="C352" s="8">
        <f>IF($A352="","",IFERROR(INDEX('ABC Analysis'!$F:$F,MATCH($A352,'ABC Analysis'!$A:$A,0)),""))</f>
        <v/>
      </c>
      <c r="D352" s="8">
        <f>IF($C352="","",IF($C352="A",$K$1,IF($C352="B",$M$1,$O$1)))</f>
        <v/>
      </c>
      <c r="E352" s="12" t="n"/>
      <c r="F352" s="13">
        <f>IF(OR($A352="",$E352=""),"",$E352+$D352)</f>
        <v/>
      </c>
      <c r="G352" s="8">
        <f>IF($F352="","",IF($F352&lt;TODAY(),"OVERDUE","ON TRACK"))</f>
        <v/>
      </c>
      <c r="H352" s="8">
        <f>IF($A352="","",IF(COUNTIFS('Blind Count Entry'!$C:$C,$A352,'Blind Count Entry'!$B:$B,"&gt;="&amp;DATE(YEAR(TODAY()),MONTH(TODAY()),1),'Blind Count Entry'!$B:$B,"&lt;="&amp;EOMONTH(TODAY(),0))&gt;0,"YES","NO"))</f>
        <v/>
      </c>
    </row>
    <row r="353">
      <c r="A353" s="8">
        <f>IF('Master Inventory'!A351="","",'Master Inventory'!A351)</f>
        <v/>
      </c>
      <c r="B353" s="8">
        <f>IF($A353="","",INDEX('Master Inventory'!$B:$B,MATCH($A353,'Master Inventory'!$A:$A,0)))</f>
        <v/>
      </c>
      <c r="C353" s="8">
        <f>IF($A353="","",IFERROR(INDEX('ABC Analysis'!$F:$F,MATCH($A353,'ABC Analysis'!$A:$A,0)),""))</f>
        <v/>
      </c>
      <c r="D353" s="8">
        <f>IF($C353="","",IF($C353="A",$K$1,IF($C353="B",$M$1,$O$1)))</f>
        <v/>
      </c>
      <c r="E353" s="12" t="n"/>
      <c r="F353" s="13">
        <f>IF(OR($A353="",$E353=""),"",$E353+$D353)</f>
        <v/>
      </c>
      <c r="G353" s="8">
        <f>IF($F353="","",IF($F353&lt;TODAY(),"OVERDUE","ON TRACK"))</f>
        <v/>
      </c>
      <c r="H353" s="8">
        <f>IF($A353="","",IF(COUNTIFS('Blind Count Entry'!$C:$C,$A353,'Blind Count Entry'!$B:$B,"&gt;="&amp;DATE(YEAR(TODAY()),MONTH(TODAY()),1),'Blind Count Entry'!$B:$B,"&lt;="&amp;EOMONTH(TODAY(),0))&gt;0,"YES","NO"))</f>
        <v/>
      </c>
    </row>
    <row r="354">
      <c r="A354" s="8">
        <f>IF('Master Inventory'!A352="","",'Master Inventory'!A352)</f>
        <v/>
      </c>
      <c r="B354" s="8">
        <f>IF($A354="","",INDEX('Master Inventory'!$B:$B,MATCH($A354,'Master Inventory'!$A:$A,0)))</f>
        <v/>
      </c>
      <c r="C354" s="8">
        <f>IF($A354="","",IFERROR(INDEX('ABC Analysis'!$F:$F,MATCH($A354,'ABC Analysis'!$A:$A,0)),""))</f>
        <v/>
      </c>
      <c r="D354" s="8">
        <f>IF($C354="","",IF($C354="A",$K$1,IF($C354="B",$M$1,$O$1)))</f>
        <v/>
      </c>
      <c r="E354" s="12" t="n"/>
      <c r="F354" s="13">
        <f>IF(OR($A354="",$E354=""),"",$E354+$D354)</f>
        <v/>
      </c>
      <c r="G354" s="8">
        <f>IF($F354="","",IF($F354&lt;TODAY(),"OVERDUE","ON TRACK"))</f>
        <v/>
      </c>
      <c r="H354" s="8">
        <f>IF($A354="","",IF(COUNTIFS('Blind Count Entry'!$C:$C,$A354,'Blind Count Entry'!$B:$B,"&gt;="&amp;DATE(YEAR(TODAY()),MONTH(TODAY()),1),'Blind Count Entry'!$B:$B,"&lt;="&amp;EOMONTH(TODAY(),0))&gt;0,"YES","NO"))</f>
        <v/>
      </c>
    </row>
    <row r="355">
      <c r="A355" s="8">
        <f>IF('Master Inventory'!A353="","",'Master Inventory'!A353)</f>
        <v/>
      </c>
      <c r="B355" s="8">
        <f>IF($A355="","",INDEX('Master Inventory'!$B:$B,MATCH($A355,'Master Inventory'!$A:$A,0)))</f>
        <v/>
      </c>
      <c r="C355" s="8">
        <f>IF($A355="","",IFERROR(INDEX('ABC Analysis'!$F:$F,MATCH($A355,'ABC Analysis'!$A:$A,0)),""))</f>
        <v/>
      </c>
      <c r="D355" s="8">
        <f>IF($C355="","",IF($C355="A",$K$1,IF($C355="B",$M$1,$O$1)))</f>
        <v/>
      </c>
      <c r="E355" s="12" t="n"/>
      <c r="F355" s="13">
        <f>IF(OR($A355="",$E355=""),"",$E355+$D355)</f>
        <v/>
      </c>
      <c r="G355" s="8">
        <f>IF($F355="","",IF($F355&lt;TODAY(),"OVERDUE","ON TRACK"))</f>
        <v/>
      </c>
      <c r="H355" s="8">
        <f>IF($A355="","",IF(COUNTIFS('Blind Count Entry'!$C:$C,$A355,'Blind Count Entry'!$B:$B,"&gt;="&amp;DATE(YEAR(TODAY()),MONTH(TODAY()),1),'Blind Count Entry'!$B:$B,"&lt;="&amp;EOMONTH(TODAY(),0))&gt;0,"YES","NO"))</f>
        <v/>
      </c>
    </row>
    <row r="356">
      <c r="A356" s="8">
        <f>IF('Master Inventory'!A354="","",'Master Inventory'!A354)</f>
        <v/>
      </c>
      <c r="B356" s="8">
        <f>IF($A356="","",INDEX('Master Inventory'!$B:$B,MATCH($A356,'Master Inventory'!$A:$A,0)))</f>
        <v/>
      </c>
      <c r="C356" s="8">
        <f>IF($A356="","",IFERROR(INDEX('ABC Analysis'!$F:$F,MATCH($A356,'ABC Analysis'!$A:$A,0)),""))</f>
        <v/>
      </c>
      <c r="D356" s="8">
        <f>IF($C356="","",IF($C356="A",$K$1,IF($C356="B",$M$1,$O$1)))</f>
        <v/>
      </c>
      <c r="E356" s="12" t="n"/>
      <c r="F356" s="13">
        <f>IF(OR($A356="",$E356=""),"",$E356+$D356)</f>
        <v/>
      </c>
      <c r="G356" s="8">
        <f>IF($F356="","",IF($F356&lt;TODAY(),"OVERDUE","ON TRACK"))</f>
        <v/>
      </c>
      <c r="H356" s="8">
        <f>IF($A356="","",IF(COUNTIFS('Blind Count Entry'!$C:$C,$A356,'Blind Count Entry'!$B:$B,"&gt;="&amp;DATE(YEAR(TODAY()),MONTH(TODAY()),1),'Blind Count Entry'!$B:$B,"&lt;="&amp;EOMONTH(TODAY(),0))&gt;0,"YES","NO"))</f>
        <v/>
      </c>
    </row>
    <row r="357">
      <c r="A357" s="8">
        <f>IF('Master Inventory'!A355="","",'Master Inventory'!A355)</f>
        <v/>
      </c>
      <c r="B357" s="8">
        <f>IF($A357="","",INDEX('Master Inventory'!$B:$B,MATCH($A357,'Master Inventory'!$A:$A,0)))</f>
        <v/>
      </c>
      <c r="C357" s="8">
        <f>IF($A357="","",IFERROR(INDEX('ABC Analysis'!$F:$F,MATCH($A357,'ABC Analysis'!$A:$A,0)),""))</f>
        <v/>
      </c>
      <c r="D357" s="8">
        <f>IF($C357="","",IF($C357="A",$K$1,IF($C357="B",$M$1,$O$1)))</f>
        <v/>
      </c>
      <c r="E357" s="12" t="n"/>
      <c r="F357" s="13">
        <f>IF(OR($A357="",$E357=""),"",$E357+$D357)</f>
        <v/>
      </c>
      <c r="G357" s="8">
        <f>IF($F357="","",IF($F357&lt;TODAY(),"OVERDUE","ON TRACK"))</f>
        <v/>
      </c>
      <c r="H357" s="8">
        <f>IF($A357="","",IF(COUNTIFS('Blind Count Entry'!$C:$C,$A357,'Blind Count Entry'!$B:$B,"&gt;="&amp;DATE(YEAR(TODAY()),MONTH(TODAY()),1),'Blind Count Entry'!$B:$B,"&lt;="&amp;EOMONTH(TODAY(),0))&gt;0,"YES","NO"))</f>
        <v/>
      </c>
    </row>
    <row r="358">
      <c r="A358" s="8">
        <f>IF('Master Inventory'!A356="","",'Master Inventory'!A356)</f>
        <v/>
      </c>
      <c r="B358" s="8">
        <f>IF($A358="","",INDEX('Master Inventory'!$B:$B,MATCH($A358,'Master Inventory'!$A:$A,0)))</f>
        <v/>
      </c>
      <c r="C358" s="8">
        <f>IF($A358="","",IFERROR(INDEX('ABC Analysis'!$F:$F,MATCH($A358,'ABC Analysis'!$A:$A,0)),""))</f>
        <v/>
      </c>
      <c r="D358" s="8">
        <f>IF($C358="","",IF($C358="A",$K$1,IF($C358="B",$M$1,$O$1)))</f>
        <v/>
      </c>
      <c r="E358" s="12" t="n"/>
      <c r="F358" s="13">
        <f>IF(OR($A358="",$E358=""),"",$E358+$D358)</f>
        <v/>
      </c>
      <c r="G358" s="8">
        <f>IF($F358="","",IF($F358&lt;TODAY(),"OVERDUE","ON TRACK"))</f>
        <v/>
      </c>
      <c r="H358" s="8">
        <f>IF($A358="","",IF(COUNTIFS('Blind Count Entry'!$C:$C,$A358,'Blind Count Entry'!$B:$B,"&gt;="&amp;DATE(YEAR(TODAY()),MONTH(TODAY()),1),'Blind Count Entry'!$B:$B,"&lt;="&amp;EOMONTH(TODAY(),0))&gt;0,"YES","NO"))</f>
        <v/>
      </c>
    </row>
    <row r="359">
      <c r="A359" s="8">
        <f>IF('Master Inventory'!A357="","",'Master Inventory'!A357)</f>
        <v/>
      </c>
      <c r="B359" s="8">
        <f>IF($A359="","",INDEX('Master Inventory'!$B:$B,MATCH($A359,'Master Inventory'!$A:$A,0)))</f>
        <v/>
      </c>
      <c r="C359" s="8">
        <f>IF($A359="","",IFERROR(INDEX('ABC Analysis'!$F:$F,MATCH($A359,'ABC Analysis'!$A:$A,0)),""))</f>
        <v/>
      </c>
      <c r="D359" s="8">
        <f>IF($C359="","",IF($C359="A",$K$1,IF($C359="B",$M$1,$O$1)))</f>
        <v/>
      </c>
      <c r="E359" s="12" t="n"/>
      <c r="F359" s="13">
        <f>IF(OR($A359="",$E359=""),"",$E359+$D359)</f>
        <v/>
      </c>
      <c r="G359" s="8">
        <f>IF($F359="","",IF($F359&lt;TODAY(),"OVERDUE","ON TRACK"))</f>
        <v/>
      </c>
      <c r="H359" s="8">
        <f>IF($A359="","",IF(COUNTIFS('Blind Count Entry'!$C:$C,$A359,'Blind Count Entry'!$B:$B,"&gt;="&amp;DATE(YEAR(TODAY()),MONTH(TODAY()),1),'Blind Count Entry'!$B:$B,"&lt;="&amp;EOMONTH(TODAY(),0))&gt;0,"YES","NO"))</f>
        <v/>
      </c>
    </row>
    <row r="360">
      <c r="A360" s="8">
        <f>IF('Master Inventory'!A358="","",'Master Inventory'!A358)</f>
        <v/>
      </c>
      <c r="B360" s="8">
        <f>IF($A360="","",INDEX('Master Inventory'!$B:$B,MATCH($A360,'Master Inventory'!$A:$A,0)))</f>
        <v/>
      </c>
      <c r="C360" s="8">
        <f>IF($A360="","",IFERROR(INDEX('ABC Analysis'!$F:$F,MATCH($A360,'ABC Analysis'!$A:$A,0)),""))</f>
        <v/>
      </c>
      <c r="D360" s="8">
        <f>IF($C360="","",IF($C360="A",$K$1,IF($C360="B",$M$1,$O$1)))</f>
        <v/>
      </c>
      <c r="E360" s="12" t="n"/>
      <c r="F360" s="13">
        <f>IF(OR($A360="",$E360=""),"",$E360+$D360)</f>
        <v/>
      </c>
      <c r="G360" s="8">
        <f>IF($F360="","",IF($F360&lt;TODAY(),"OVERDUE","ON TRACK"))</f>
        <v/>
      </c>
      <c r="H360" s="8">
        <f>IF($A360="","",IF(COUNTIFS('Blind Count Entry'!$C:$C,$A360,'Blind Count Entry'!$B:$B,"&gt;="&amp;DATE(YEAR(TODAY()),MONTH(TODAY()),1),'Blind Count Entry'!$B:$B,"&lt;="&amp;EOMONTH(TODAY(),0))&gt;0,"YES","NO"))</f>
        <v/>
      </c>
    </row>
    <row r="361">
      <c r="A361" s="8">
        <f>IF('Master Inventory'!A359="","",'Master Inventory'!A359)</f>
        <v/>
      </c>
      <c r="B361" s="8">
        <f>IF($A361="","",INDEX('Master Inventory'!$B:$B,MATCH($A361,'Master Inventory'!$A:$A,0)))</f>
        <v/>
      </c>
      <c r="C361" s="8">
        <f>IF($A361="","",IFERROR(INDEX('ABC Analysis'!$F:$F,MATCH($A361,'ABC Analysis'!$A:$A,0)),""))</f>
        <v/>
      </c>
      <c r="D361" s="8">
        <f>IF($C361="","",IF($C361="A",$K$1,IF($C361="B",$M$1,$O$1)))</f>
        <v/>
      </c>
      <c r="E361" s="12" t="n"/>
      <c r="F361" s="13">
        <f>IF(OR($A361="",$E361=""),"",$E361+$D361)</f>
        <v/>
      </c>
      <c r="G361" s="8">
        <f>IF($F361="","",IF($F361&lt;TODAY(),"OVERDUE","ON TRACK"))</f>
        <v/>
      </c>
      <c r="H361" s="8">
        <f>IF($A361="","",IF(COUNTIFS('Blind Count Entry'!$C:$C,$A361,'Blind Count Entry'!$B:$B,"&gt;="&amp;DATE(YEAR(TODAY()),MONTH(TODAY()),1),'Blind Count Entry'!$B:$B,"&lt;="&amp;EOMONTH(TODAY(),0))&gt;0,"YES","NO"))</f>
        <v/>
      </c>
    </row>
    <row r="362">
      <c r="A362" s="8">
        <f>IF('Master Inventory'!A360="","",'Master Inventory'!A360)</f>
        <v/>
      </c>
      <c r="B362" s="8">
        <f>IF($A362="","",INDEX('Master Inventory'!$B:$B,MATCH($A362,'Master Inventory'!$A:$A,0)))</f>
        <v/>
      </c>
      <c r="C362" s="8">
        <f>IF($A362="","",IFERROR(INDEX('ABC Analysis'!$F:$F,MATCH($A362,'ABC Analysis'!$A:$A,0)),""))</f>
        <v/>
      </c>
      <c r="D362" s="8">
        <f>IF($C362="","",IF($C362="A",$K$1,IF($C362="B",$M$1,$O$1)))</f>
        <v/>
      </c>
      <c r="E362" s="12" t="n"/>
      <c r="F362" s="13">
        <f>IF(OR($A362="",$E362=""),"",$E362+$D362)</f>
        <v/>
      </c>
      <c r="G362" s="8">
        <f>IF($F362="","",IF($F362&lt;TODAY(),"OVERDUE","ON TRACK"))</f>
        <v/>
      </c>
      <c r="H362" s="8">
        <f>IF($A362="","",IF(COUNTIFS('Blind Count Entry'!$C:$C,$A362,'Blind Count Entry'!$B:$B,"&gt;="&amp;DATE(YEAR(TODAY()),MONTH(TODAY()),1),'Blind Count Entry'!$B:$B,"&lt;="&amp;EOMONTH(TODAY(),0))&gt;0,"YES","NO"))</f>
        <v/>
      </c>
    </row>
    <row r="363">
      <c r="A363" s="8">
        <f>IF('Master Inventory'!A361="","",'Master Inventory'!A361)</f>
        <v/>
      </c>
      <c r="B363" s="8">
        <f>IF($A363="","",INDEX('Master Inventory'!$B:$B,MATCH($A363,'Master Inventory'!$A:$A,0)))</f>
        <v/>
      </c>
      <c r="C363" s="8">
        <f>IF($A363="","",IFERROR(INDEX('ABC Analysis'!$F:$F,MATCH($A363,'ABC Analysis'!$A:$A,0)),""))</f>
        <v/>
      </c>
      <c r="D363" s="8">
        <f>IF($C363="","",IF($C363="A",$K$1,IF($C363="B",$M$1,$O$1)))</f>
        <v/>
      </c>
      <c r="E363" s="12" t="n"/>
      <c r="F363" s="13">
        <f>IF(OR($A363="",$E363=""),"",$E363+$D363)</f>
        <v/>
      </c>
      <c r="G363" s="8">
        <f>IF($F363="","",IF($F363&lt;TODAY(),"OVERDUE","ON TRACK"))</f>
        <v/>
      </c>
      <c r="H363" s="8">
        <f>IF($A363="","",IF(COUNTIFS('Blind Count Entry'!$C:$C,$A363,'Blind Count Entry'!$B:$B,"&gt;="&amp;DATE(YEAR(TODAY()),MONTH(TODAY()),1),'Blind Count Entry'!$B:$B,"&lt;="&amp;EOMONTH(TODAY(),0))&gt;0,"YES","NO"))</f>
        <v/>
      </c>
    </row>
    <row r="364">
      <c r="A364" s="8">
        <f>IF('Master Inventory'!A362="","",'Master Inventory'!A362)</f>
        <v/>
      </c>
      <c r="B364" s="8">
        <f>IF($A364="","",INDEX('Master Inventory'!$B:$B,MATCH($A364,'Master Inventory'!$A:$A,0)))</f>
        <v/>
      </c>
      <c r="C364" s="8">
        <f>IF($A364="","",IFERROR(INDEX('ABC Analysis'!$F:$F,MATCH($A364,'ABC Analysis'!$A:$A,0)),""))</f>
        <v/>
      </c>
      <c r="D364" s="8">
        <f>IF($C364="","",IF($C364="A",$K$1,IF($C364="B",$M$1,$O$1)))</f>
        <v/>
      </c>
      <c r="E364" s="12" t="n"/>
      <c r="F364" s="13">
        <f>IF(OR($A364="",$E364=""),"",$E364+$D364)</f>
        <v/>
      </c>
      <c r="G364" s="8">
        <f>IF($F364="","",IF($F364&lt;TODAY(),"OVERDUE","ON TRACK"))</f>
        <v/>
      </c>
      <c r="H364" s="8">
        <f>IF($A364="","",IF(COUNTIFS('Blind Count Entry'!$C:$C,$A364,'Blind Count Entry'!$B:$B,"&gt;="&amp;DATE(YEAR(TODAY()),MONTH(TODAY()),1),'Blind Count Entry'!$B:$B,"&lt;="&amp;EOMONTH(TODAY(),0))&gt;0,"YES","NO"))</f>
        <v/>
      </c>
    </row>
    <row r="365">
      <c r="A365" s="8">
        <f>IF('Master Inventory'!A363="","",'Master Inventory'!A363)</f>
        <v/>
      </c>
      <c r="B365" s="8">
        <f>IF($A365="","",INDEX('Master Inventory'!$B:$B,MATCH($A365,'Master Inventory'!$A:$A,0)))</f>
        <v/>
      </c>
      <c r="C365" s="8">
        <f>IF($A365="","",IFERROR(INDEX('ABC Analysis'!$F:$F,MATCH($A365,'ABC Analysis'!$A:$A,0)),""))</f>
        <v/>
      </c>
      <c r="D365" s="8">
        <f>IF($C365="","",IF($C365="A",$K$1,IF($C365="B",$M$1,$O$1)))</f>
        <v/>
      </c>
      <c r="E365" s="12" t="n"/>
      <c r="F365" s="13">
        <f>IF(OR($A365="",$E365=""),"",$E365+$D365)</f>
        <v/>
      </c>
      <c r="G365" s="8">
        <f>IF($F365="","",IF($F365&lt;TODAY(),"OVERDUE","ON TRACK"))</f>
        <v/>
      </c>
      <c r="H365" s="8">
        <f>IF($A365="","",IF(COUNTIFS('Blind Count Entry'!$C:$C,$A365,'Blind Count Entry'!$B:$B,"&gt;="&amp;DATE(YEAR(TODAY()),MONTH(TODAY()),1),'Blind Count Entry'!$B:$B,"&lt;="&amp;EOMONTH(TODAY(),0))&gt;0,"YES","NO"))</f>
        <v/>
      </c>
    </row>
    <row r="366">
      <c r="A366" s="8">
        <f>IF('Master Inventory'!A364="","",'Master Inventory'!A364)</f>
        <v/>
      </c>
      <c r="B366" s="8">
        <f>IF($A366="","",INDEX('Master Inventory'!$B:$B,MATCH($A366,'Master Inventory'!$A:$A,0)))</f>
        <v/>
      </c>
      <c r="C366" s="8">
        <f>IF($A366="","",IFERROR(INDEX('ABC Analysis'!$F:$F,MATCH($A366,'ABC Analysis'!$A:$A,0)),""))</f>
        <v/>
      </c>
      <c r="D366" s="8">
        <f>IF($C366="","",IF($C366="A",$K$1,IF($C366="B",$M$1,$O$1)))</f>
        <v/>
      </c>
      <c r="E366" s="12" t="n"/>
      <c r="F366" s="13">
        <f>IF(OR($A366="",$E366=""),"",$E366+$D366)</f>
        <v/>
      </c>
      <c r="G366" s="8">
        <f>IF($F366="","",IF($F366&lt;TODAY(),"OVERDUE","ON TRACK"))</f>
        <v/>
      </c>
      <c r="H366" s="8">
        <f>IF($A366="","",IF(COUNTIFS('Blind Count Entry'!$C:$C,$A366,'Blind Count Entry'!$B:$B,"&gt;="&amp;DATE(YEAR(TODAY()),MONTH(TODAY()),1),'Blind Count Entry'!$B:$B,"&lt;="&amp;EOMONTH(TODAY(),0))&gt;0,"YES","NO"))</f>
        <v/>
      </c>
    </row>
    <row r="367">
      <c r="A367" s="8">
        <f>IF('Master Inventory'!A365="","",'Master Inventory'!A365)</f>
        <v/>
      </c>
      <c r="B367" s="8">
        <f>IF($A367="","",INDEX('Master Inventory'!$B:$B,MATCH($A367,'Master Inventory'!$A:$A,0)))</f>
        <v/>
      </c>
      <c r="C367" s="8">
        <f>IF($A367="","",IFERROR(INDEX('ABC Analysis'!$F:$F,MATCH($A367,'ABC Analysis'!$A:$A,0)),""))</f>
        <v/>
      </c>
      <c r="D367" s="8">
        <f>IF($C367="","",IF($C367="A",$K$1,IF($C367="B",$M$1,$O$1)))</f>
        <v/>
      </c>
      <c r="E367" s="12" t="n"/>
      <c r="F367" s="13">
        <f>IF(OR($A367="",$E367=""),"",$E367+$D367)</f>
        <v/>
      </c>
      <c r="G367" s="8">
        <f>IF($F367="","",IF($F367&lt;TODAY(),"OVERDUE","ON TRACK"))</f>
        <v/>
      </c>
      <c r="H367" s="8">
        <f>IF($A367="","",IF(COUNTIFS('Blind Count Entry'!$C:$C,$A367,'Blind Count Entry'!$B:$B,"&gt;="&amp;DATE(YEAR(TODAY()),MONTH(TODAY()),1),'Blind Count Entry'!$B:$B,"&lt;="&amp;EOMONTH(TODAY(),0))&gt;0,"YES","NO"))</f>
        <v/>
      </c>
    </row>
    <row r="368">
      <c r="A368" s="8">
        <f>IF('Master Inventory'!A366="","",'Master Inventory'!A366)</f>
        <v/>
      </c>
      <c r="B368" s="8">
        <f>IF($A368="","",INDEX('Master Inventory'!$B:$B,MATCH($A368,'Master Inventory'!$A:$A,0)))</f>
        <v/>
      </c>
      <c r="C368" s="8">
        <f>IF($A368="","",IFERROR(INDEX('ABC Analysis'!$F:$F,MATCH($A368,'ABC Analysis'!$A:$A,0)),""))</f>
        <v/>
      </c>
      <c r="D368" s="8">
        <f>IF($C368="","",IF($C368="A",$K$1,IF($C368="B",$M$1,$O$1)))</f>
        <v/>
      </c>
      <c r="E368" s="12" t="n"/>
      <c r="F368" s="13">
        <f>IF(OR($A368="",$E368=""),"",$E368+$D368)</f>
        <v/>
      </c>
      <c r="G368" s="8">
        <f>IF($F368="","",IF($F368&lt;TODAY(),"OVERDUE","ON TRACK"))</f>
        <v/>
      </c>
      <c r="H368" s="8">
        <f>IF($A368="","",IF(COUNTIFS('Blind Count Entry'!$C:$C,$A368,'Blind Count Entry'!$B:$B,"&gt;="&amp;DATE(YEAR(TODAY()),MONTH(TODAY()),1),'Blind Count Entry'!$B:$B,"&lt;="&amp;EOMONTH(TODAY(),0))&gt;0,"YES","NO"))</f>
        <v/>
      </c>
    </row>
    <row r="369">
      <c r="A369" s="8">
        <f>IF('Master Inventory'!A367="","",'Master Inventory'!A367)</f>
        <v/>
      </c>
      <c r="B369" s="8">
        <f>IF($A369="","",INDEX('Master Inventory'!$B:$B,MATCH($A369,'Master Inventory'!$A:$A,0)))</f>
        <v/>
      </c>
      <c r="C369" s="8">
        <f>IF($A369="","",IFERROR(INDEX('ABC Analysis'!$F:$F,MATCH($A369,'ABC Analysis'!$A:$A,0)),""))</f>
        <v/>
      </c>
      <c r="D369" s="8">
        <f>IF($C369="","",IF($C369="A",$K$1,IF($C369="B",$M$1,$O$1)))</f>
        <v/>
      </c>
      <c r="E369" s="12" t="n"/>
      <c r="F369" s="13">
        <f>IF(OR($A369="",$E369=""),"",$E369+$D369)</f>
        <v/>
      </c>
      <c r="G369" s="8">
        <f>IF($F369="","",IF($F369&lt;TODAY(),"OVERDUE","ON TRACK"))</f>
        <v/>
      </c>
      <c r="H369" s="8">
        <f>IF($A369="","",IF(COUNTIFS('Blind Count Entry'!$C:$C,$A369,'Blind Count Entry'!$B:$B,"&gt;="&amp;DATE(YEAR(TODAY()),MONTH(TODAY()),1),'Blind Count Entry'!$B:$B,"&lt;="&amp;EOMONTH(TODAY(),0))&gt;0,"YES","NO"))</f>
        <v/>
      </c>
    </row>
    <row r="370">
      <c r="A370" s="8">
        <f>IF('Master Inventory'!A368="","",'Master Inventory'!A368)</f>
        <v/>
      </c>
      <c r="B370" s="8">
        <f>IF($A370="","",INDEX('Master Inventory'!$B:$B,MATCH($A370,'Master Inventory'!$A:$A,0)))</f>
        <v/>
      </c>
      <c r="C370" s="8">
        <f>IF($A370="","",IFERROR(INDEX('ABC Analysis'!$F:$F,MATCH($A370,'ABC Analysis'!$A:$A,0)),""))</f>
        <v/>
      </c>
      <c r="D370" s="8">
        <f>IF($C370="","",IF($C370="A",$K$1,IF($C370="B",$M$1,$O$1)))</f>
        <v/>
      </c>
      <c r="E370" s="12" t="n"/>
      <c r="F370" s="13">
        <f>IF(OR($A370="",$E370=""),"",$E370+$D370)</f>
        <v/>
      </c>
      <c r="G370" s="8">
        <f>IF($F370="","",IF($F370&lt;TODAY(),"OVERDUE","ON TRACK"))</f>
        <v/>
      </c>
      <c r="H370" s="8">
        <f>IF($A370="","",IF(COUNTIFS('Blind Count Entry'!$C:$C,$A370,'Blind Count Entry'!$B:$B,"&gt;="&amp;DATE(YEAR(TODAY()),MONTH(TODAY()),1),'Blind Count Entry'!$B:$B,"&lt;="&amp;EOMONTH(TODAY(),0))&gt;0,"YES","NO"))</f>
        <v/>
      </c>
    </row>
    <row r="371">
      <c r="A371" s="8">
        <f>IF('Master Inventory'!A369="","",'Master Inventory'!A369)</f>
        <v/>
      </c>
      <c r="B371" s="8">
        <f>IF($A371="","",INDEX('Master Inventory'!$B:$B,MATCH($A371,'Master Inventory'!$A:$A,0)))</f>
        <v/>
      </c>
      <c r="C371" s="8">
        <f>IF($A371="","",IFERROR(INDEX('ABC Analysis'!$F:$F,MATCH($A371,'ABC Analysis'!$A:$A,0)),""))</f>
        <v/>
      </c>
      <c r="D371" s="8">
        <f>IF($C371="","",IF($C371="A",$K$1,IF($C371="B",$M$1,$O$1)))</f>
        <v/>
      </c>
      <c r="E371" s="12" t="n"/>
      <c r="F371" s="13">
        <f>IF(OR($A371="",$E371=""),"",$E371+$D371)</f>
        <v/>
      </c>
      <c r="G371" s="8">
        <f>IF($F371="","",IF($F371&lt;TODAY(),"OVERDUE","ON TRACK"))</f>
        <v/>
      </c>
      <c r="H371" s="8">
        <f>IF($A371="","",IF(COUNTIFS('Blind Count Entry'!$C:$C,$A371,'Blind Count Entry'!$B:$B,"&gt;="&amp;DATE(YEAR(TODAY()),MONTH(TODAY()),1),'Blind Count Entry'!$B:$B,"&lt;="&amp;EOMONTH(TODAY(),0))&gt;0,"YES","NO"))</f>
        <v/>
      </c>
    </row>
    <row r="372">
      <c r="A372" s="8">
        <f>IF('Master Inventory'!A370="","",'Master Inventory'!A370)</f>
        <v/>
      </c>
      <c r="B372" s="8">
        <f>IF($A372="","",INDEX('Master Inventory'!$B:$B,MATCH($A372,'Master Inventory'!$A:$A,0)))</f>
        <v/>
      </c>
      <c r="C372" s="8">
        <f>IF($A372="","",IFERROR(INDEX('ABC Analysis'!$F:$F,MATCH($A372,'ABC Analysis'!$A:$A,0)),""))</f>
        <v/>
      </c>
      <c r="D372" s="8">
        <f>IF($C372="","",IF($C372="A",$K$1,IF($C372="B",$M$1,$O$1)))</f>
        <v/>
      </c>
      <c r="E372" s="12" t="n"/>
      <c r="F372" s="13">
        <f>IF(OR($A372="",$E372=""),"",$E372+$D372)</f>
        <v/>
      </c>
      <c r="G372" s="8">
        <f>IF($F372="","",IF($F372&lt;TODAY(),"OVERDUE","ON TRACK"))</f>
        <v/>
      </c>
      <c r="H372" s="8">
        <f>IF($A372="","",IF(COUNTIFS('Blind Count Entry'!$C:$C,$A372,'Blind Count Entry'!$B:$B,"&gt;="&amp;DATE(YEAR(TODAY()),MONTH(TODAY()),1),'Blind Count Entry'!$B:$B,"&lt;="&amp;EOMONTH(TODAY(),0))&gt;0,"YES","NO"))</f>
        <v/>
      </c>
    </row>
    <row r="373">
      <c r="A373" s="8">
        <f>IF('Master Inventory'!A371="","",'Master Inventory'!A371)</f>
        <v/>
      </c>
      <c r="B373" s="8">
        <f>IF($A373="","",INDEX('Master Inventory'!$B:$B,MATCH($A373,'Master Inventory'!$A:$A,0)))</f>
        <v/>
      </c>
      <c r="C373" s="8">
        <f>IF($A373="","",IFERROR(INDEX('ABC Analysis'!$F:$F,MATCH($A373,'ABC Analysis'!$A:$A,0)),""))</f>
        <v/>
      </c>
      <c r="D373" s="8">
        <f>IF($C373="","",IF($C373="A",$K$1,IF($C373="B",$M$1,$O$1)))</f>
        <v/>
      </c>
      <c r="E373" s="12" t="n"/>
      <c r="F373" s="13">
        <f>IF(OR($A373="",$E373=""),"",$E373+$D373)</f>
        <v/>
      </c>
      <c r="G373" s="8">
        <f>IF($F373="","",IF($F373&lt;TODAY(),"OVERDUE","ON TRACK"))</f>
        <v/>
      </c>
      <c r="H373" s="8">
        <f>IF($A373="","",IF(COUNTIFS('Blind Count Entry'!$C:$C,$A373,'Blind Count Entry'!$B:$B,"&gt;="&amp;DATE(YEAR(TODAY()),MONTH(TODAY()),1),'Blind Count Entry'!$B:$B,"&lt;="&amp;EOMONTH(TODAY(),0))&gt;0,"YES","NO"))</f>
        <v/>
      </c>
    </row>
    <row r="374">
      <c r="A374" s="8">
        <f>IF('Master Inventory'!A372="","",'Master Inventory'!A372)</f>
        <v/>
      </c>
      <c r="B374" s="8">
        <f>IF($A374="","",INDEX('Master Inventory'!$B:$B,MATCH($A374,'Master Inventory'!$A:$A,0)))</f>
        <v/>
      </c>
      <c r="C374" s="8">
        <f>IF($A374="","",IFERROR(INDEX('ABC Analysis'!$F:$F,MATCH($A374,'ABC Analysis'!$A:$A,0)),""))</f>
        <v/>
      </c>
      <c r="D374" s="8">
        <f>IF($C374="","",IF($C374="A",$K$1,IF($C374="B",$M$1,$O$1)))</f>
        <v/>
      </c>
      <c r="E374" s="12" t="n"/>
      <c r="F374" s="13">
        <f>IF(OR($A374="",$E374=""),"",$E374+$D374)</f>
        <v/>
      </c>
      <c r="G374" s="8">
        <f>IF($F374="","",IF($F374&lt;TODAY(),"OVERDUE","ON TRACK"))</f>
        <v/>
      </c>
      <c r="H374" s="8">
        <f>IF($A374="","",IF(COUNTIFS('Blind Count Entry'!$C:$C,$A374,'Blind Count Entry'!$B:$B,"&gt;="&amp;DATE(YEAR(TODAY()),MONTH(TODAY()),1),'Blind Count Entry'!$B:$B,"&lt;="&amp;EOMONTH(TODAY(),0))&gt;0,"YES","NO"))</f>
        <v/>
      </c>
    </row>
    <row r="375">
      <c r="A375" s="8">
        <f>IF('Master Inventory'!A373="","",'Master Inventory'!A373)</f>
        <v/>
      </c>
      <c r="B375" s="8">
        <f>IF($A375="","",INDEX('Master Inventory'!$B:$B,MATCH($A375,'Master Inventory'!$A:$A,0)))</f>
        <v/>
      </c>
      <c r="C375" s="8">
        <f>IF($A375="","",IFERROR(INDEX('ABC Analysis'!$F:$F,MATCH($A375,'ABC Analysis'!$A:$A,0)),""))</f>
        <v/>
      </c>
      <c r="D375" s="8">
        <f>IF($C375="","",IF($C375="A",$K$1,IF($C375="B",$M$1,$O$1)))</f>
        <v/>
      </c>
      <c r="E375" s="12" t="n"/>
      <c r="F375" s="13">
        <f>IF(OR($A375="",$E375=""),"",$E375+$D375)</f>
        <v/>
      </c>
      <c r="G375" s="8">
        <f>IF($F375="","",IF($F375&lt;TODAY(),"OVERDUE","ON TRACK"))</f>
        <v/>
      </c>
      <c r="H375" s="8">
        <f>IF($A375="","",IF(COUNTIFS('Blind Count Entry'!$C:$C,$A375,'Blind Count Entry'!$B:$B,"&gt;="&amp;DATE(YEAR(TODAY()),MONTH(TODAY()),1),'Blind Count Entry'!$B:$B,"&lt;="&amp;EOMONTH(TODAY(),0))&gt;0,"YES","NO"))</f>
        <v/>
      </c>
    </row>
    <row r="376">
      <c r="A376" s="8">
        <f>IF('Master Inventory'!A374="","",'Master Inventory'!A374)</f>
        <v/>
      </c>
      <c r="B376" s="8">
        <f>IF($A376="","",INDEX('Master Inventory'!$B:$B,MATCH($A376,'Master Inventory'!$A:$A,0)))</f>
        <v/>
      </c>
      <c r="C376" s="8">
        <f>IF($A376="","",IFERROR(INDEX('ABC Analysis'!$F:$F,MATCH($A376,'ABC Analysis'!$A:$A,0)),""))</f>
        <v/>
      </c>
      <c r="D376" s="8">
        <f>IF($C376="","",IF($C376="A",$K$1,IF($C376="B",$M$1,$O$1)))</f>
        <v/>
      </c>
      <c r="E376" s="12" t="n"/>
      <c r="F376" s="13">
        <f>IF(OR($A376="",$E376=""),"",$E376+$D376)</f>
        <v/>
      </c>
      <c r="G376" s="8">
        <f>IF($F376="","",IF($F376&lt;TODAY(),"OVERDUE","ON TRACK"))</f>
        <v/>
      </c>
      <c r="H376" s="8">
        <f>IF($A376="","",IF(COUNTIFS('Blind Count Entry'!$C:$C,$A376,'Blind Count Entry'!$B:$B,"&gt;="&amp;DATE(YEAR(TODAY()),MONTH(TODAY()),1),'Blind Count Entry'!$B:$B,"&lt;="&amp;EOMONTH(TODAY(),0))&gt;0,"YES","NO"))</f>
        <v/>
      </c>
    </row>
    <row r="377">
      <c r="A377" s="8">
        <f>IF('Master Inventory'!A375="","",'Master Inventory'!A375)</f>
        <v/>
      </c>
      <c r="B377" s="8">
        <f>IF($A377="","",INDEX('Master Inventory'!$B:$B,MATCH($A377,'Master Inventory'!$A:$A,0)))</f>
        <v/>
      </c>
      <c r="C377" s="8">
        <f>IF($A377="","",IFERROR(INDEX('ABC Analysis'!$F:$F,MATCH($A377,'ABC Analysis'!$A:$A,0)),""))</f>
        <v/>
      </c>
      <c r="D377" s="8">
        <f>IF($C377="","",IF($C377="A",$K$1,IF($C377="B",$M$1,$O$1)))</f>
        <v/>
      </c>
      <c r="E377" s="12" t="n"/>
      <c r="F377" s="13">
        <f>IF(OR($A377="",$E377=""),"",$E377+$D377)</f>
        <v/>
      </c>
      <c r="G377" s="8">
        <f>IF($F377="","",IF($F377&lt;TODAY(),"OVERDUE","ON TRACK"))</f>
        <v/>
      </c>
      <c r="H377" s="8">
        <f>IF($A377="","",IF(COUNTIFS('Blind Count Entry'!$C:$C,$A377,'Blind Count Entry'!$B:$B,"&gt;="&amp;DATE(YEAR(TODAY()),MONTH(TODAY()),1),'Blind Count Entry'!$B:$B,"&lt;="&amp;EOMONTH(TODAY(),0))&gt;0,"YES","NO"))</f>
        <v/>
      </c>
    </row>
    <row r="378">
      <c r="A378" s="8">
        <f>IF('Master Inventory'!A376="","",'Master Inventory'!A376)</f>
        <v/>
      </c>
      <c r="B378" s="8">
        <f>IF($A378="","",INDEX('Master Inventory'!$B:$B,MATCH($A378,'Master Inventory'!$A:$A,0)))</f>
        <v/>
      </c>
      <c r="C378" s="8">
        <f>IF($A378="","",IFERROR(INDEX('ABC Analysis'!$F:$F,MATCH($A378,'ABC Analysis'!$A:$A,0)),""))</f>
        <v/>
      </c>
      <c r="D378" s="8">
        <f>IF($C378="","",IF($C378="A",$K$1,IF($C378="B",$M$1,$O$1)))</f>
        <v/>
      </c>
      <c r="E378" s="12" t="n"/>
      <c r="F378" s="13">
        <f>IF(OR($A378="",$E378=""),"",$E378+$D378)</f>
        <v/>
      </c>
      <c r="G378" s="8">
        <f>IF($F378="","",IF($F378&lt;TODAY(),"OVERDUE","ON TRACK"))</f>
        <v/>
      </c>
      <c r="H378" s="8">
        <f>IF($A378="","",IF(COUNTIFS('Blind Count Entry'!$C:$C,$A378,'Blind Count Entry'!$B:$B,"&gt;="&amp;DATE(YEAR(TODAY()),MONTH(TODAY()),1),'Blind Count Entry'!$B:$B,"&lt;="&amp;EOMONTH(TODAY(),0))&gt;0,"YES","NO"))</f>
        <v/>
      </c>
    </row>
    <row r="379">
      <c r="A379" s="8">
        <f>IF('Master Inventory'!A377="","",'Master Inventory'!A377)</f>
        <v/>
      </c>
      <c r="B379" s="8">
        <f>IF($A379="","",INDEX('Master Inventory'!$B:$B,MATCH($A379,'Master Inventory'!$A:$A,0)))</f>
        <v/>
      </c>
      <c r="C379" s="8">
        <f>IF($A379="","",IFERROR(INDEX('ABC Analysis'!$F:$F,MATCH($A379,'ABC Analysis'!$A:$A,0)),""))</f>
        <v/>
      </c>
      <c r="D379" s="8">
        <f>IF($C379="","",IF($C379="A",$K$1,IF($C379="B",$M$1,$O$1)))</f>
        <v/>
      </c>
      <c r="E379" s="12" t="n"/>
      <c r="F379" s="13">
        <f>IF(OR($A379="",$E379=""),"",$E379+$D379)</f>
        <v/>
      </c>
      <c r="G379" s="8">
        <f>IF($F379="","",IF($F379&lt;TODAY(),"OVERDUE","ON TRACK"))</f>
        <v/>
      </c>
      <c r="H379" s="8">
        <f>IF($A379="","",IF(COUNTIFS('Blind Count Entry'!$C:$C,$A379,'Blind Count Entry'!$B:$B,"&gt;="&amp;DATE(YEAR(TODAY()),MONTH(TODAY()),1),'Blind Count Entry'!$B:$B,"&lt;="&amp;EOMONTH(TODAY(),0))&gt;0,"YES","NO"))</f>
        <v/>
      </c>
    </row>
    <row r="380">
      <c r="A380" s="8">
        <f>IF('Master Inventory'!A378="","",'Master Inventory'!A378)</f>
        <v/>
      </c>
      <c r="B380" s="8">
        <f>IF($A380="","",INDEX('Master Inventory'!$B:$B,MATCH($A380,'Master Inventory'!$A:$A,0)))</f>
        <v/>
      </c>
      <c r="C380" s="8">
        <f>IF($A380="","",IFERROR(INDEX('ABC Analysis'!$F:$F,MATCH($A380,'ABC Analysis'!$A:$A,0)),""))</f>
        <v/>
      </c>
      <c r="D380" s="8">
        <f>IF($C380="","",IF($C380="A",$K$1,IF($C380="B",$M$1,$O$1)))</f>
        <v/>
      </c>
      <c r="E380" s="12" t="n"/>
      <c r="F380" s="13">
        <f>IF(OR($A380="",$E380=""),"",$E380+$D380)</f>
        <v/>
      </c>
      <c r="G380" s="8">
        <f>IF($F380="","",IF($F380&lt;TODAY(),"OVERDUE","ON TRACK"))</f>
        <v/>
      </c>
      <c r="H380" s="8">
        <f>IF($A380="","",IF(COUNTIFS('Blind Count Entry'!$C:$C,$A380,'Blind Count Entry'!$B:$B,"&gt;="&amp;DATE(YEAR(TODAY()),MONTH(TODAY()),1),'Blind Count Entry'!$B:$B,"&lt;="&amp;EOMONTH(TODAY(),0))&gt;0,"YES","NO"))</f>
        <v/>
      </c>
    </row>
    <row r="381">
      <c r="A381" s="8">
        <f>IF('Master Inventory'!A379="","",'Master Inventory'!A379)</f>
        <v/>
      </c>
      <c r="B381" s="8">
        <f>IF($A381="","",INDEX('Master Inventory'!$B:$B,MATCH($A381,'Master Inventory'!$A:$A,0)))</f>
        <v/>
      </c>
      <c r="C381" s="8">
        <f>IF($A381="","",IFERROR(INDEX('ABC Analysis'!$F:$F,MATCH($A381,'ABC Analysis'!$A:$A,0)),""))</f>
        <v/>
      </c>
      <c r="D381" s="8">
        <f>IF($C381="","",IF($C381="A",$K$1,IF($C381="B",$M$1,$O$1)))</f>
        <v/>
      </c>
      <c r="E381" s="12" t="n"/>
      <c r="F381" s="13">
        <f>IF(OR($A381="",$E381=""),"",$E381+$D381)</f>
        <v/>
      </c>
      <c r="G381" s="8">
        <f>IF($F381="","",IF($F381&lt;TODAY(),"OVERDUE","ON TRACK"))</f>
        <v/>
      </c>
      <c r="H381" s="8">
        <f>IF($A381="","",IF(COUNTIFS('Blind Count Entry'!$C:$C,$A381,'Blind Count Entry'!$B:$B,"&gt;="&amp;DATE(YEAR(TODAY()),MONTH(TODAY()),1),'Blind Count Entry'!$B:$B,"&lt;="&amp;EOMONTH(TODAY(),0))&gt;0,"YES","NO"))</f>
        <v/>
      </c>
    </row>
    <row r="382">
      <c r="A382" s="8">
        <f>IF('Master Inventory'!A380="","",'Master Inventory'!A380)</f>
        <v/>
      </c>
      <c r="B382" s="8">
        <f>IF($A382="","",INDEX('Master Inventory'!$B:$B,MATCH($A382,'Master Inventory'!$A:$A,0)))</f>
        <v/>
      </c>
      <c r="C382" s="8">
        <f>IF($A382="","",IFERROR(INDEX('ABC Analysis'!$F:$F,MATCH($A382,'ABC Analysis'!$A:$A,0)),""))</f>
        <v/>
      </c>
      <c r="D382" s="8">
        <f>IF($C382="","",IF($C382="A",$K$1,IF($C382="B",$M$1,$O$1)))</f>
        <v/>
      </c>
      <c r="E382" s="12" t="n"/>
      <c r="F382" s="13">
        <f>IF(OR($A382="",$E382=""),"",$E382+$D382)</f>
        <v/>
      </c>
      <c r="G382" s="8">
        <f>IF($F382="","",IF($F382&lt;TODAY(),"OVERDUE","ON TRACK"))</f>
        <v/>
      </c>
      <c r="H382" s="8">
        <f>IF($A382="","",IF(COUNTIFS('Blind Count Entry'!$C:$C,$A382,'Blind Count Entry'!$B:$B,"&gt;="&amp;DATE(YEAR(TODAY()),MONTH(TODAY()),1),'Blind Count Entry'!$B:$B,"&lt;="&amp;EOMONTH(TODAY(),0))&gt;0,"YES","NO"))</f>
        <v/>
      </c>
    </row>
    <row r="383">
      <c r="A383" s="8">
        <f>IF('Master Inventory'!A381="","",'Master Inventory'!A381)</f>
        <v/>
      </c>
      <c r="B383" s="8">
        <f>IF($A383="","",INDEX('Master Inventory'!$B:$B,MATCH($A383,'Master Inventory'!$A:$A,0)))</f>
        <v/>
      </c>
      <c r="C383" s="8">
        <f>IF($A383="","",IFERROR(INDEX('ABC Analysis'!$F:$F,MATCH($A383,'ABC Analysis'!$A:$A,0)),""))</f>
        <v/>
      </c>
      <c r="D383" s="8">
        <f>IF($C383="","",IF($C383="A",$K$1,IF($C383="B",$M$1,$O$1)))</f>
        <v/>
      </c>
      <c r="E383" s="12" t="n"/>
      <c r="F383" s="13">
        <f>IF(OR($A383="",$E383=""),"",$E383+$D383)</f>
        <v/>
      </c>
      <c r="G383" s="8">
        <f>IF($F383="","",IF($F383&lt;TODAY(),"OVERDUE","ON TRACK"))</f>
        <v/>
      </c>
      <c r="H383" s="8">
        <f>IF($A383="","",IF(COUNTIFS('Blind Count Entry'!$C:$C,$A383,'Blind Count Entry'!$B:$B,"&gt;="&amp;DATE(YEAR(TODAY()),MONTH(TODAY()),1),'Blind Count Entry'!$B:$B,"&lt;="&amp;EOMONTH(TODAY(),0))&gt;0,"YES","NO"))</f>
        <v/>
      </c>
    </row>
    <row r="384">
      <c r="A384" s="8">
        <f>IF('Master Inventory'!A382="","",'Master Inventory'!A382)</f>
        <v/>
      </c>
      <c r="B384" s="8">
        <f>IF($A384="","",INDEX('Master Inventory'!$B:$B,MATCH($A384,'Master Inventory'!$A:$A,0)))</f>
        <v/>
      </c>
      <c r="C384" s="8">
        <f>IF($A384="","",IFERROR(INDEX('ABC Analysis'!$F:$F,MATCH($A384,'ABC Analysis'!$A:$A,0)),""))</f>
        <v/>
      </c>
      <c r="D384" s="8">
        <f>IF($C384="","",IF($C384="A",$K$1,IF($C384="B",$M$1,$O$1)))</f>
        <v/>
      </c>
      <c r="E384" s="12" t="n"/>
      <c r="F384" s="13">
        <f>IF(OR($A384="",$E384=""),"",$E384+$D384)</f>
        <v/>
      </c>
      <c r="G384" s="8">
        <f>IF($F384="","",IF($F384&lt;TODAY(),"OVERDUE","ON TRACK"))</f>
        <v/>
      </c>
      <c r="H384" s="8">
        <f>IF($A384="","",IF(COUNTIFS('Blind Count Entry'!$C:$C,$A384,'Blind Count Entry'!$B:$B,"&gt;="&amp;DATE(YEAR(TODAY()),MONTH(TODAY()),1),'Blind Count Entry'!$B:$B,"&lt;="&amp;EOMONTH(TODAY(),0))&gt;0,"YES","NO"))</f>
        <v/>
      </c>
    </row>
    <row r="385">
      <c r="A385" s="8">
        <f>IF('Master Inventory'!A383="","",'Master Inventory'!A383)</f>
        <v/>
      </c>
      <c r="B385" s="8">
        <f>IF($A385="","",INDEX('Master Inventory'!$B:$B,MATCH($A385,'Master Inventory'!$A:$A,0)))</f>
        <v/>
      </c>
      <c r="C385" s="8">
        <f>IF($A385="","",IFERROR(INDEX('ABC Analysis'!$F:$F,MATCH($A385,'ABC Analysis'!$A:$A,0)),""))</f>
        <v/>
      </c>
      <c r="D385" s="8">
        <f>IF($C385="","",IF($C385="A",$K$1,IF($C385="B",$M$1,$O$1)))</f>
        <v/>
      </c>
      <c r="E385" s="12" t="n"/>
      <c r="F385" s="13">
        <f>IF(OR($A385="",$E385=""),"",$E385+$D385)</f>
        <v/>
      </c>
      <c r="G385" s="8">
        <f>IF($F385="","",IF($F385&lt;TODAY(),"OVERDUE","ON TRACK"))</f>
        <v/>
      </c>
      <c r="H385" s="8">
        <f>IF($A385="","",IF(COUNTIFS('Blind Count Entry'!$C:$C,$A385,'Blind Count Entry'!$B:$B,"&gt;="&amp;DATE(YEAR(TODAY()),MONTH(TODAY()),1),'Blind Count Entry'!$B:$B,"&lt;="&amp;EOMONTH(TODAY(),0))&gt;0,"YES","NO"))</f>
        <v/>
      </c>
    </row>
    <row r="386">
      <c r="A386" s="8">
        <f>IF('Master Inventory'!A384="","",'Master Inventory'!A384)</f>
        <v/>
      </c>
      <c r="B386" s="8">
        <f>IF($A386="","",INDEX('Master Inventory'!$B:$B,MATCH($A386,'Master Inventory'!$A:$A,0)))</f>
        <v/>
      </c>
      <c r="C386" s="8">
        <f>IF($A386="","",IFERROR(INDEX('ABC Analysis'!$F:$F,MATCH($A386,'ABC Analysis'!$A:$A,0)),""))</f>
        <v/>
      </c>
      <c r="D386" s="8">
        <f>IF($C386="","",IF($C386="A",$K$1,IF($C386="B",$M$1,$O$1)))</f>
        <v/>
      </c>
      <c r="E386" s="12" t="n"/>
      <c r="F386" s="13">
        <f>IF(OR($A386="",$E386=""),"",$E386+$D386)</f>
        <v/>
      </c>
      <c r="G386" s="8">
        <f>IF($F386="","",IF($F386&lt;TODAY(),"OVERDUE","ON TRACK"))</f>
        <v/>
      </c>
      <c r="H386" s="8">
        <f>IF($A386="","",IF(COUNTIFS('Blind Count Entry'!$C:$C,$A386,'Blind Count Entry'!$B:$B,"&gt;="&amp;DATE(YEAR(TODAY()),MONTH(TODAY()),1),'Blind Count Entry'!$B:$B,"&lt;="&amp;EOMONTH(TODAY(),0))&gt;0,"YES","NO"))</f>
        <v/>
      </c>
    </row>
    <row r="387">
      <c r="A387" s="8">
        <f>IF('Master Inventory'!A385="","",'Master Inventory'!A385)</f>
        <v/>
      </c>
      <c r="B387" s="8">
        <f>IF($A387="","",INDEX('Master Inventory'!$B:$B,MATCH($A387,'Master Inventory'!$A:$A,0)))</f>
        <v/>
      </c>
      <c r="C387" s="8">
        <f>IF($A387="","",IFERROR(INDEX('ABC Analysis'!$F:$F,MATCH($A387,'ABC Analysis'!$A:$A,0)),""))</f>
        <v/>
      </c>
      <c r="D387" s="8">
        <f>IF($C387="","",IF($C387="A",$K$1,IF($C387="B",$M$1,$O$1)))</f>
        <v/>
      </c>
      <c r="E387" s="12" t="n"/>
      <c r="F387" s="13">
        <f>IF(OR($A387="",$E387=""),"",$E387+$D387)</f>
        <v/>
      </c>
      <c r="G387" s="8">
        <f>IF($F387="","",IF($F387&lt;TODAY(),"OVERDUE","ON TRACK"))</f>
        <v/>
      </c>
      <c r="H387" s="8">
        <f>IF($A387="","",IF(COUNTIFS('Blind Count Entry'!$C:$C,$A387,'Blind Count Entry'!$B:$B,"&gt;="&amp;DATE(YEAR(TODAY()),MONTH(TODAY()),1),'Blind Count Entry'!$B:$B,"&lt;="&amp;EOMONTH(TODAY(),0))&gt;0,"YES","NO"))</f>
        <v/>
      </c>
    </row>
    <row r="388">
      <c r="A388" s="8">
        <f>IF('Master Inventory'!A386="","",'Master Inventory'!A386)</f>
        <v/>
      </c>
      <c r="B388" s="8">
        <f>IF($A388="","",INDEX('Master Inventory'!$B:$B,MATCH($A388,'Master Inventory'!$A:$A,0)))</f>
        <v/>
      </c>
      <c r="C388" s="8">
        <f>IF($A388="","",IFERROR(INDEX('ABC Analysis'!$F:$F,MATCH($A388,'ABC Analysis'!$A:$A,0)),""))</f>
        <v/>
      </c>
      <c r="D388" s="8">
        <f>IF($C388="","",IF($C388="A",$K$1,IF($C388="B",$M$1,$O$1)))</f>
        <v/>
      </c>
      <c r="E388" s="12" t="n"/>
      <c r="F388" s="13">
        <f>IF(OR($A388="",$E388=""),"",$E388+$D388)</f>
        <v/>
      </c>
      <c r="G388" s="8">
        <f>IF($F388="","",IF($F388&lt;TODAY(),"OVERDUE","ON TRACK"))</f>
        <v/>
      </c>
      <c r="H388" s="8">
        <f>IF($A388="","",IF(COUNTIFS('Blind Count Entry'!$C:$C,$A388,'Blind Count Entry'!$B:$B,"&gt;="&amp;DATE(YEAR(TODAY()),MONTH(TODAY()),1),'Blind Count Entry'!$B:$B,"&lt;="&amp;EOMONTH(TODAY(),0))&gt;0,"YES","NO"))</f>
        <v/>
      </c>
    </row>
    <row r="389">
      <c r="A389" s="8">
        <f>IF('Master Inventory'!A387="","",'Master Inventory'!A387)</f>
        <v/>
      </c>
      <c r="B389" s="8">
        <f>IF($A389="","",INDEX('Master Inventory'!$B:$B,MATCH($A389,'Master Inventory'!$A:$A,0)))</f>
        <v/>
      </c>
      <c r="C389" s="8">
        <f>IF($A389="","",IFERROR(INDEX('ABC Analysis'!$F:$F,MATCH($A389,'ABC Analysis'!$A:$A,0)),""))</f>
        <v/>
      </c>
      <c r="D389" s="8">
        <f>IF($C389="","",IF($C389="A",$K$1,IF($C389="B",$M$1,$O$1)))</f>
        <v/>
      </c>
      <c r="E389" s="12" t="n"/>
      <c r="F389" s="13">
        <f>IF(OR($A389="",$E389=""),"",$E389+$D389)</f>
        <v/>
      </c>
      <c r="G389" s="8">
        <f>IF($F389="","",IF($F389&lt;TODAY(),"OVERDUE","ON TRACK"))</f>
        <v/>
      </c>
      <c r="H389" s="8">
        <f>IF($A389="","",IF(COUNTIFS('Blind Count Entry'!$C:$C,$A389,'Blind Count Entry'!$B:$B,"&gt;="&amp;DATE(YEAR(TODAY()),MONTH(TODAY()),1),'Blind Count Entry'!$B:$B,"&lt;="&amp;EOMONTH(TODAY(),0))&gt;0,"YES","NO"))</f>
        <v/>
      </c>
    </row>
    <row r="390">
      <c r="A390" s="8">
        <f>IF('Master Inventory'!A388="","",'Master Inventory'!A388)</f>
        <v/>
      </c>
      <c r="B390" s="8">
        <f>IF($A390="","",INDEX('Master Inventory'!$B:$B,MATCH($A390,'Master Inventory'!$A:$A,0)))</f>
        <v/>
      </c>
      <c r="C390" s="8">
        <f>IF($A390="","",IFERROR(INDEX('ABC Analysis'!$F:$F,MATCH($A390,'ABC Analysis'!$A:$A,0)),""))</f>
        <v/>
      </c>
      <c r="D390" s="8">
        <f>IF($C390="","",IF($C390="A",$K$1,IF($C390="B",$M$1,$O$1)))</f>
        <v/>
      </c>
      <c r="E390" s="12" t="n"/>
      <c r="F390" s="13">
        <f>IF(OR($A390="",$E390=""),"",$E390+$D390)</f>
        <v/>
      </c>
      <c r="G390" s="8">
        <f>IF($F390="","",IF($F390&lt;TODAY(),"OVERDUE","ON TRACK"))</f>
        <v/>
      </c>
      <c r="H390" s="8">
        <f>IF($A390="","",IF(COUNTIFS('Blind Count Entry'!$C:$C,$A390,'Blind Count Entry'!$B:$B,"&gt;="&amp;DATE(YEAR(TODAY()),MONTH(TODAY()),1),'Blind Count Entry'!$B:$B,"&lt;="&amp;EOMONTH(TODAY(),0))&gt;0,"YES","NO"))</f>
        <v/>
      </c>
    </row>
    <row r="391">
      <c r="A391" s="8">
        <f>IF('Master Inventory'!A389="","",'Master Inventory'!A389)</f>
        <v/>
      </c>
      <c r="B391" s="8">
        <f>IF($A391="","",INDEX('Master Inventory'!$B:$B,MATCH($A391,'Master Inventory'!$A:$A,0)))</f>
        <v/>
      </c>
      <c r="C391" s="8">
        <f>IF($A391="","",IFERROR(INDEX('ABC Analysis'!$F:$F,MATCH($A391,'ABC Analysis'!$A:$A,0)),""))</f>
        <v/>
      </c>
      <c r="D391" s="8">
        <f>IF($C391="","",IF($C391="A",$K$1,IF($C391="B",$M$1,$O$1)))</f>
        <v/>
      </c>
      <c r="E391" s="12" t="n"/>
      <c r="F391" s="13">
        <f>IF(OR($A391="",$E391=""),"",$E391+$D391)</f>
        <v/>
      </c>
      <c r="G391" s="8">
        <f>IF($F391="","",IF($F391&lt;TODAY(),"OVERDUE","ON TRACK"))</f>
        <v/>
      </c>
      <c r="H391" s="8">
        <f>IF($A391="","",IF(COUNTIFS('Blind Count Entry'!$C:$C,$A391,'Blind Count Entry'!$B:$B,"&gt;="&amp;DATE(YEAR(TODAY()),MONTH(TODAY()),1),'Blind Count Entry'!$B:$B,"&lt;="&amp;EOMONTH(TODAY(),0))&gt;0,"YES","NO"))</f>
        <v/>
      </c>
    </row>
    <row r="392">
      <c r="A392" s="8">
        <f>IF('Master Inventory'!A390="","",'Master Inventory'!A390)</f>
        <v/>
      </c>
      <c r="B392" s="8">
        <f>IF($A392="","",INDEX('Master Inventory'!$B:$B,MATCH($A392,'Master Inventory'!$A:$A,0)))</f>
        <v/>
      </c>
      <c r="C392" s="8">
        <f>IF($A392="","",IFERROR(INDEX('ABC Analysis'!$F:$F,MATCH($A392,'ABC Analysis'!$A:$A,0)),""))</f>
        <v/>
      </c>
      <c r="D392" s="8">
        <f>IF($C392="","",IF($C392="A",$K$1,IF($C392="B",$M$1,$O$1)))</f>
        <v/>
      </c>
      <c r="E392" s="12" t="n"/>
      <c r="F392" s="13">
        <f>IF(OR($A392="",$E392=""),"",$E392+$D392)</f>
        <v/>
      </c>
      <c r="G392" s="8">
        <f>IF($F392="","",IF($F392&lt;TODAY(),"OVERDUE","ON TRACK"))</f>
        <v/>
      </c>
      <c r="H392" s="8">
        <f>IF($A392="","",IF(COUNTIFS('Blind Count Entry'!$C:$C,$A392,'Blind Count Entry'!$B:$B,"&gt;="&amp;DATE(YEAR(TODAY()),MONTH(TODAY()),1),'Blind Count Entry'!$B:$B,"&lt;="&amp;EOMONTH(TODAY(),0))&gt;0,"YES","NO"))</f>
        <v/>
      </c>
    </row>
    <row r="393">
      <c r="A393" s="8">
        <f>IF('Master Inventory'!A391="","",'Master Inventory'!A391)</f>
        <v/>
      </c>
      <c r="B393" s="8">
        <f>IF($A393="","",INDEX('Master Inventory'!$B:$B,MATCH($A393,'Master Inventory'!$A:$A,0)))</f>
        <v/>
      </c>
      <c r="C393" s="8">
        <f>IF($A393="","",IFERROR(INDEX('ABC Analysis'!$F:$F,MATCH($A393,'ABC Analysis'!$A:$A,0)),""))</f>
        <v/>
      </c>
      <c r="D393" s="8">
        <f>IF($C393="","",IF($C393="A",$K$1,IF($C393="B",$M$1,$O$1)))</f>
        <v/>
      </c>
      <c r="E393" s="12" t="n"/>
      <c r="F393" s="13">
        <f>IF(OR($A393="",$E393=""),"",$E393+$D393)</f>
        <v/>
      </c>
      <c r="G393" s="8">
        <f>IF($F393="","",IF($F393&lt;TODAY(),"OVERDUE","ON TRACK"))</f>
        <v/>
      </c>
      <c r="H393" s="8">
        <f>IF($A393="","",IF(COUNTIFS('Blind Count Entry'!$C:$C,$A393,'Blind Count Entry'!$B:$B,"&gt;="&amp;DATE(YEAR(TODAY()),MONTH(TODAY()),1),'Blind Count Entry'!$B:$B,"&lt;="&amp;EOMONTH(TODAY(),0))&gt;0,"YES","NO"))</f>
        <v/>
      </c>
    </row>
    <row r="394">
      <c r="A394" s="8">
        <f>IF('Master Inventory'!A392="","",'Master Inventory'!A392)</f>
        <v/>
      </c>
      <c r="B394" s="8">
        <f>IF($A394="","",INDEX('Master Inventory'!$B:$B,MATCH($A394,'Master Inventory'!$A:$A,0)))</f>
        <v/>
      </c>
      <c r="C394" s="8">
        <f>IF($A394="","",IFERROR(INDEX('ABC Analysis'!$F:$F,MATCH($A394,'ABC Analysis'!$A:$A,0)),""))</f>
        <v/>
      </c>
      <c r="D394" s="8">
        <f>IF($C394="","",IF($C394="A",$K$1,IF($C394="B",$M$1,$O$1)))</f>
        <v/>
      </c>
      <c r="E394" s="12" t="n"/>
      <c r="F394" s="13">
        <f>IF(OR($A394="",$E394=""),"",$E394+$D394)</f>
        <v/>
      </c>
      <c r="G394" s="8">
        <f>IF($F394="","",IF($F394&lt;TODAY(),"OVERDUE","ON TRACK"))</f>
        <v/>
      </c>
      <c r="H394" s="8">
        <f>IF($A394="","",IF(COUNTIFS('Blind Count Entry'!$C:$C,$A394,'Blind Count Entry'!$B:$B,"&gt;="&amp;DATE(YEAR(TODAY()),MONTH(TODAY()),1),'Blind Count Entry'!$B:$B,"&lt;="&amp;EOMONTH(TODAY(),0))&gt;0,"YES","NO"))</f>
        <v/>
      </c>
    </row>
    <row r="395">
      <c r="A395" s="8">
        <f>IF('Master Inventory'!A393="","",'Master Inventory'!A393)</f>
        <v/>
      </c>
      <c r="B395" s="8">
        <f>IF($A395="","",INDEX('Master Inventory'!$B:$B,MATCH($A395,'Master Inventory'!$A:$A,0)))</f>
        <v/>
      </c>
      <c r="C395" s="8">
        <f>IF($A395="","",IFERROR(INDEX('ABC Analysis'!$F:$F,MATCH($A395,'ABC Analysis'!$A:$A,0)),""))</f>
        <v/>
      </c>
      <c r="D395" s="8">
        <f>IF($C395="","",IF($C395="A",$K$1,IF($C395="B",$M$1,$O$1)))</f>
        <v/>
      </c>
      <c r="E395" s="12" t="n"/>
      <c r="F395" s="13">
        <f>IF(OR($A395="",$E395=""),"",$E395+$D395)</f>
        <v/>
      </c>
      <c r="G395" s="8">
        <f>IF($F395="","",IF($F395&lt;TODAY(),"OVERDUE","ON TRACK"))</f>
        <v/>
      </c>
      <c r="H395" s="8">
        <f>IF($A395="","",IF(COUNTIFS('Blind Count Entry'!$C:$C,$A395,'Blind Count Entry'!$B:$B,"&gt;="&amp;DATE(YEAR(TODAY()),MONTH(TODAY()),1),'Blind Count Entry'!$B:$B,"&lt;="&amp;EOMONTH(TODAY(),0))&gt;0,"YES","NO"))</f>
        <v/>
      </c>
    </row>
    <row r="396">
      <c r="A396" s="8">
        <f>IF('Master Inventory'!A394="","",'Master Inventory'!A394)</f>
        <v/>
      </c>
      <c r="B396" s="8">
        <f>IF($A396="","",INDEX('Master Inventory'!$B:$B,MATCH($A396,'Master Inventory'!$A:$A,0)))</f>
        <v/>
      </c>
      <c r="C396" s="8">
        <f>IF($A396="","",IFERROR(INDEX('ABC Analysis'!$F:$F,MATCH($A396,'ABC Analysis'!$A:$A,0)),""))</f>
        <v/>
      </c>
      <c r="D396" s="8">
        <f>IF($C396="","",IF($C396="A",$K$1,IF($C396="B",$M$1,$O$1)))</f>
        <v/>
      </c>
      <c r="E396" s="12" t="n"/>
      <c r="F396" s="13">
        <f>IF(OR($A396="",$E396=""),"",$E396+$D396)</f>
        <v/>
      </c>
      <c r="G396" s="8">
        <f>IF($F396="","",IF($F396&lt;TODAY(),"OVERDUE","ON TRACK"))</f>
        <v/>
      </c>
      <c r="H396" s="8">
        <f>IF($A396="","",IF(COUNTIFS('Blind Count Entry'!$C:$C,$A396,'Blind Count Entry'!$B:$B,"&gt;="&amp;DATE(YEAR(TODAY()),MONTH(TODAY()),1),'Blind Count Entry'!$B:$B,"&lt;="&amp;EOMONTH(TODAY(),0))&gt;0,"YES","NO"))</f>
        <v/>
      </c>
    </row>
    <row r="397">
      <c r="A397" s="8">
        <f>IF('Master Inventory'!A395="","",'Master Inventory'!A395)</f>
        <v/>
      </c>
      <c r="B397" s="8">
        <f>IF($A397="","",INDEX('Master Inventory'!$B:$B,MATCH($A397,'Master Inventory'!$A:$A,0)))</f>
        <v/>
      </c>
      <c r="C397" s="8">
        <f>IF($A397="","",IFERROR(INDEX('ABC Analysis'!$F:$F,MATCH($A397,'ABC Analysis'!$A:$A,0)),""))</f>
        <v/>
      </c>
      <c r="D397" s="8">
        <f>IF($C397="","",IF($C397="A",$K$1,IF($C397="B",$M$1,$O$1)))</f>
        <v/>
      </c>
      <c r="E397" s="12" t="n"/>
      <c r="F397" s="13">
        <f>IF(OR($A397="",$E397=""),"",$E397+$D397)</f>
        <v/>
      </c>
      <c r="G397" s="8">
        <f>IF($F397="","",IF($F397&lt;TODAY(),"OVERDUE","ON TRACK"))</f>
        <v/>
      </c>
      <c r="H397" s="8">
        <f>IF($A397="","",IF(COUNTIFS('Blind Count Entry'!$C:$C,$A397,'Blind Count Entry'!$B:$B,"&gt;="&amp;DATE(YEAR(TODAY()),MONTH(TODAY()),1),'Blind Count Entry'!$B:$B,"&lt;="&amp;EOMONTH(TODAY(),0))&gt;0,"YES","NO"))</f>
        <v/>
      </c>
    </row>
    <row r="398">
      <c r="A398" s="8">
        <f>IF('Master Inventory'!A396="","",'Master Inventory'!A396)</f>
        <v/>
      </c>
      <c r="B398" s="8">
        <f>IF($A398="","",INDEX('Master Inventory'!$B:$B,MATCH($A398,'Master Inventory'!$A:$A,0)))</f>
        <v/>
      </c>
      <c r="C398" s="8">
        <f>IF($A398="","",IFERROR(INDEX('ABC Analysis'!$F:$F,MATCH($A398,'ABC Analysis'!$A:$A,0)),""))</f>
        <v/>
      </c>
      <c r="D398" s="8">
        <f>IF($C398="","",IF($C398="A",$K$1,IF($C398="B",$M$1,$O$1)))</f>
        <v/>
      </c>
      <c r="E398" s="12" t="n"/>
      <c r="F398" s="13">
        <f>IF(OR($A398="",$E398=""),"",$E398+$D398)</f>
        <v/>
      </c>
      <c r="G398" s="8">
        <f>IF($F398="","",IF($F398&lt;TODAY(),"OVERDUE","ON TRACK"))</f>
        <v/>
      </c>
      <c r="H398" s="8">
        <f>IF($A398="","",IF(COUNTIFS('Blind Count Entry'!$C:$C,$A398,'Blind Count Entry'!$B:$B,"&gt;="&amp;DATE(YEAR(TODAY()),MONTH(TODAY()),1),'Blind Count Entry'!$B:$B,"&lt;="&amp;EOMONTH(TODAY(),0))&gt;0,"YES","NO"))</f>
        <v/>
      </c>
    </row>
    <row r="399">
      <c r="A399" s="8">
        <f>IF('Master Inventory'!A397="","",'Master Inventory'!A397)</f>
        <v/>
      </c>
      <c r="B399" s="8">
        <f>IF($A399="","",INDEX('Master Inventory'!$B:$B,MATCH($A399,'Master Inventory'!$A:$A,0)))</f>
        <v/>
      </c>
      <c r="C399" s="8">
        <f>IF($A399="","",IFERROR(INDEX('ABC Analysis'!$F:$F,MATCH($A399,'ABC Analysis'!$A:$A,0)),""))</f>
        <v/>
      </c>
      <c r="D399" s="8">
        <f>IF($C399="","",IF($C399="A",$K$1,IF($C399="B",$M$1,$O$1)))</f>
        <v/>
      </c>
      <c r="E399" s="12" t="n"/>
      <c r="F399" s="13">
        <f>IF(OR($A399="",$E399=""),"",$E399+$D399)</f>
        <v/>
      </c>
      <c r="G399" s="8">
        <f>IF($F399="","",IF($F399&lt;TODAY(),"OVERDUE","ON TRACK"))</f>
        <v/>
      </c>
      <c r="H399" s="8">
        <f>IF($A399="","",IF(COUNTIFS('Blind Count Entry'!$C:$C,$A399,'Blind Count Entry'!$B:$B,"&gt;="&amp;DATE(YEAR(TODAY()),MONTH(TODAY()),1),'Blind Count Entry'!$B:$B,"&lt;="&amp;EOMONTH(TODAY(),0))&gt;0,"YES","NO"))</f>
        <v/>
      </c>
    </row>
    <row r="400">
      <c r="A400" s="8">
        <f>IF('Master Inventory'!A398="","",'Master Inventory'!A398)</f>
        <v/>
      </c>
      <c r="B400" s="8">
        <f>IF($A400="","",INDEX('Master Inventory'!$B:$B,MATCH($A400,'Master Inventory'!$A:$A,0)))</f>
        <v/>
      </c>
      <c r="C400" s="8">
        <f>IF($A400="","",IFERROR(INDEX('ABC Analysis'!$F:$F,MATCH($A400,'ABC Analysis'!$A:$A,0)),""))</f>
        <v/>
      </c>
      <c r="D400" s="8">
        <f>IF($C400="","",IF($C400="A",$K$1,IF($C400="B",$M$1,$O$1)))</f>
        <v/>
      </c>
      <c r="E400" s="12" t="n"/>
      <c r="F400" s="13">
        <f>IF(OR($A400="",$E400=""),"",$E400+$D400)</f>
        <v/>
      </c>
      <c r="G400" s="8">
        <f>IF($F400="","",IF($F400&lt;TODAY(),"OVERDUE","ON TRACK"))</f>
        <v/>
      </c>
      <c r="H400" s="8">
        <f>IF($A400="","",IF(COUNTIFS('Blind Count Entry'!$C:$C,$A400,'Blind Count Entry'!$B:$B,"&gt;="&amp;DATE(YEAR(TODAY()),MONTH(TODAY()),1),'Blind Count Entry'!$B:$B,"&lt;="&amp;EOMONTH(TODAY(),0))&gt;0,"YES","NO"))</f>
        <v/>
      </c>
    </row>
    <row r="401">
      <c r="A401" s="8">
        <f>IF('Master Inventory'!A399="","",'Master Inventory'!A399)</f>
        <v/>
      </c>
      <c r="B401" s="8">
        <f>IF($A401="","",INDEX('Master Inventory'!$B:$B,MATCH($A401,'Master Inventory'!$A:$A,0)))</f>
        <v/>
      </c>
      <c r="C401" s="8">
        <f>IF($A401="","",IFERROR(INDEX('ABC Analysis'!$F:$F,MATCH($A401,'ABC Analysis'!$A:$A,0)),""))</f>
        <v/>
      </c>
      <c r="D401" s="8">
        <f>IF($C401="","",IF($C401="A",$K$1,IF($C401="B",$M$1,$O$1)))</f>
        <v/>
      </c>
      <c r="E401" s="12" t="n"/>
      <c r="F401" s="13">
        <f>IF(OR($A401="",$E401=""),"",$E401+$D401)</f>
        <v/>
      </c>
      <c r="G401" s="8">
        <f>IF($F401="","",IF($F401&lt;TODAY(),"OVERDUE","ON TRACK"))</f>
        <v/>
      </c>
      <c r="H401" s="8">
        <f>IF($A401="","",IF(COUNTIFS('Blind Count Entry'!$C:$C,$A401,'Blind Count Entry'!$B:$B,"&gt;="&amp;DATE(YEAR(TODAY()),MONTH(TODAY()),1),'Blind Count Entry'!$B:$B,"&lt;="&amp;EOMONTH(TODAY(),0))&gt;0,"YES","NO"))</f>
        <v/>
      </c>
    </row>
    <row r="402">
      <c r="A402" s="8">
        <f>IF('Master Inventory'!A400="","",'Master Inventory'!A400)</f>
        <v/>
      </c>
      <c r="B402" s="8">
        <f>IF($A402="","",INDEX('Master Inventory'!$B:$B,MATCH($A402,'Master Inventory'!$A:$A,0)))</f>
        <v/>
      </c>
      <c r="C402" s="8">
        <f>IF($A402="","",IFERROR(INDEX('ABC Analysis'!$F:$F,MATCH($A402,'ABC Analysis'!$A:$A,0)),""))</f>
        <v/>
      </c>
      <c r="D402" s="8">
        <f>IF($C402="","",IF($C402="A",$K$1,IF($C402="B",$M$1,$O$1)))</f>
        <v/>
      </c>
      <c r="E402" s="12" t="n"/>
      <c r="F402" s="13">
        <f>IF(OR($A402="",$E402=""),"",$E402+$D402)</f>
        <v/>
      </c>
      <c r="G402" s="8">
        <f>IF($F402="","",IF($F402&lt;TODAY(),"OVERDUE","ON TRACK"))</f>
        <v/>
      </c>
      <c r="H402" s="8">
        <f>IF($A402="","",IF(COUNTIFS('Blind Count Entry'!$C:$C,$A402,'Blind Count Entry'!$B:$B,"&gt;="&amp;DATE(YEAR(TODAY()),MONTH(TODAY()),1),'Blind Count Entry'!$B:$B,"&lt;="&amp;EOMONTH(TODAY(),0))&gt;0,"YES","NO"))</f>
        <v/>
      </c>
    </row>
    <row r="403">
      <c r="A403" s="8">
        <f>IF('Master Inventory'!A401="","",'Master Inventory'!A401)</f>
        <v/>
      </c>
      <c r="B403" s="8">
        <f>IF($A403="","",INDEX('Master Inventory'!$B:$B,MATCH($A403,'Master Inventory'!$A:$A,0)))</f>
        <v/>
      </c>
      <c r="C403" s="8">
        <f>IF($A403="","",IFERROR(INDEX('ABC Analysis'!$F:$F,MATCH($A403,'ABC Analysis'!$A:$A,0)),""))</f>
        <v/>
      </c>
      <c r="D403" s="8">
        <f>IF($C403="","",IF($C403="A",$K$1,IF($C403="B",$M$1,$O$1)))</f>
        <v/>
      </c>
      <c r="E403" s="12" t="n"/>
      <c r="F403" s="13">
        <f>IF(OR($A403="",$E403=""),"",$E403+$D403)</f>
        <v/>
      </c>
      <c r="G403" s="8">
        <f>IF($F403="","",IF($F403&lt;TODAY(),"OVERDUE","ON TRACK"))</f>
        <v/>
      </c>
      <c r="H403" s="8">
        <f>IF($A403="","",IF(COUNTIFS('Blind Count Entry'!$C:$C,$A403,'Blind Count Entry'!$B:$B,"&gt;="&amp;DATE(YEAR(TODAY()),MONTH(TODAY()),1),'Blind Count Entry'!$B:$B,"&lt;="&amp;EOMONTH(TODAY(),0))&gt;0,"YES","NO"))</f>
        <v/>
      </c>
    </row>
    <row r="404">
      <c r="A404" s="8">
        <f>IF('Master Inventory'!A402="","",'Master Inventory'!A402)</f>
        <v/>
      </c>
      <c r="B404" s="8">
        <f>IF($A404="","",INDEX('Master Inventory'!$B:$B,MATCH($A404,'Master Inventory'!$A:$A,0)))</f>
        <v/>
      </c>
      <c r="C404" s="8">
        <f>IF($A404="","",IFERROR(INDEX('ABC Analysis'!$F:$F,MATCH($A404,'ABC Analysis'!$A:$A,0)),""))</f>
        <v/>
      </c>
      <c r="D404" s="8">
        <f>IF($C404="","",IF($C404="A",$K$1,IF($C404="B",$M$1,$O$1)))</f>
        <v/>
      </c>
      <c r="E404" s="12" t="n"/>
      <c r="F404" s="13">
        <f>IF(OR($A404="",$E404=""),"",$E404+$D404)</f>
        <v/>
      </c>
      <c r="G404" s="8">
        <f>IF($F404="","",IF($F404&lt;TODAY(),"OVERDUE","ON TRACK"))</f>
        <v/>
      </c>
      <c r="H404" s="8">
        <f>IF($A404="","",IF(COUNTIFS('Blind Count Entry'!$C:$C,$A404,'Blind Count Entry'!$B:$B,"&gt;="&amp;DATE(YEAR(TODAY()),MONTH(TODAY()),1),'Blind Count Entry'!$B:$B,"&lt;="&amp;EOMONTH(TODAY(),0))&gt;0,"YES","NO"))</f>
        <v/>
      </c>
    </row>
    <row r="405">
      <c r="A405" s="8">
        <f>IF('Master Inventory'!A403="","",'Master Inventory'!A403)</f>
        <v/>
      </c>
      <c r="B405" s="8">
        <f>IF($A405="","",INDEX('Master Inventory'!$B:$B,MATCH($A405,'Master Inventory'!$A:$A,0)))</f>
        <v/>
      </c>
      <c r="C405" s="8">
        <f>IF($A405="","",IFERROR(INDEX('ABC Analysis'!$F:$F,MATCH($A405,'ABC Analysis'!$A:$A,0)),""))</f>
        <v/>
      </c>
      <c r="D405" s="8">
        <f>IF($C405="","",IF($C405="A",$K$1,IF($C405="B",$M$1,$O$1)))</f>
        <v/>
      </c>
      <c r="E405" s="12" t="n"/>
      <c r="F405" s="13">
        <f>IF(OR($A405="",$E405=""),"",$E405+$D405)</f>
        <v/>
      </c>
      <c r="G405" s="8">
        <f>IF($F405="","",IF($F405&lt;TODAY(),"OVERDUE","ON TRACK"))</f>
        <v/>
      </c>
      <c r="H405" s="8">
        <f>IF($A405="","",IF(COUNTIFS('Blind Count Entry'!$C:$C,$A405,'Blind Count Entry'!$B:$B,"&gt;="&amp;DATE(YEAR(TODAY()),MONTH(TODAY()),1),'Blind Count Entry'!$B:$B,"&lt;="&amp;EOMONTH(TODAY(),0))&gt;0,"YES","NO"))</f>
        <v/>
      </c>
    </row>
    <row r="406">
      <c r="A406" s="8">
        <f>IF('Master Inventory'!A404="","",'Master Inventory'!A404)</f>
        <v/>
      </c>
      <c r="B406" s="8">
        <f>IF($A406="","",INDEX('Master Inventory'!$B:$B,MATCH($A406,'Master Inventory'!$A:$A,0)))</f>
        <v/>
      </c>
      <c r="C406" s="8">
        <f>IF($A406="","",IFERROR(INDEX('ABC Analysis'!$F:$F,MATCH($A406,'ABC Analysis'!$A:$A,0)),""))</f>
        <v/>
      </c>
      <c r="D406" s="8">
        <f>IF($C406="","",IF($C406="A",$K$1,IF($C406="B",$M$1,$O$1)))</f>
        <v/>
      </c>
      <c r="E406" s="12" t="n"/>
      <c r="F406" s="13">
        <f>IF(OR($A406="",$E406=""),"",$E406+$D406)</f>
        <v/>
      </c>
      <c r="G406" s="8">
        <f>IF($F406="","",IF($F406&lt;TODAY(),"OVERDUE","ON TRACK"))</f>
        <v/>
      </c>
      <c r="H406" s="8">
        <f>IF($A406="","",IF(COUNTIFS('Blind Count Entry'!$C:$C,$A406,'Blind Count Entry'!$B:$B,"&gt;="&amp;DATE(YEAR(TODAY()),MONTH(TODAY()),1),'Blind Count Entry'!$B:$B,"&lt;="&amp;EOMONTH(TODAY(),0))&gt;0,"YES","NO"))</f>
        <v/>
      </c>
    </row>
    <row r="407">
      <c r="A407" s="8">
        <f>IF('Master Inventory'!A405="","",'Master Inventory'!A405)</f>
        <v/>
      </c>
      <c r="B407" s="8">
        <f>IF($A407="","",INDEX('Master Inventory'!$B:$B,MATCH($A407,'Master Inventory'!$A:$A,0)))</f>
        <v/>
      </c>
      <c r="C407" s="8">
        <f>IF($A407="","",IFERROR(INDEX('ABC Analysis'!$F:$F,MATCH($A407,'ABC Analysis'!$A:$A,0)),""))</f>
        <v/>
      </c>
      <c r="D407" s="8">
        <f>IF($C407="","",IF($C407="A",$K$1,IF($C407="B",$M$1,$O$1)))</f>
        <v/>
      </c>
      <c r="E407" s="12" t="n"/>
      <c r="F407" s="13">
        <f>IF(OR($A407="",$E407=""),"",$E407+$D407)</f>
        <v/>
      </c>
      <c r="G407" s="8">
        <f>IF($F407="","",IF($F407&lt;TODAY(),"OVERDUE","ON TRACK"))</f>
        <v/>
      </c>
      <c r="H407" s="8">
        <f>IF($A407="","",IF(COUNTIFS('Blind Count Entry'!$C:$C,$A407,'Blind Count Entry'!$B:$B,"&gt;="&amp;DATE(YEAR(TODAY()),MONTH(TODAY()),1),'Blind Count Entry'!$B:$B,"&lt;="&amp;EOMONTH(TODAY(),0))&gt;0,"YES","NO"))</f>
        <v/>
      </c>
    </row>
    <row r="408">
      <c r="A408" s="8">
        <f>IF('Master Inventory'!A406="","",'Master Inventory'!A406)</f>
        <v/>
      </c>
      <c r="B408" s="8">
        <f>IF($A408="","",INDEX('Master Inventory'!$B:$B,MATCH($A408,'Master Inventory'!$A:$A,0)))</f>
        <v/>
      </c>
      <c r="C408" s="8">
        <f>IF($A408="","",IFERROR(INDEX('ABC Analysis'!$F:$F,MATCH($A408,'ABC Analysis'!$A:$A,0)),""))</f>
        <v/>
      </c>
      <c r="D408" s="8">
        <f>IF($C408="","",IF($C408="A",$K$1,IF($C408="B",$M$1,$O$1)))</f>
        <v/>
      </c>
      <c r="E408" s="12" t="n"/>
      <c r="F408" s="13">
        <f>IF(OR($A408="",$E408=""),"",$E408+$D408)</f>
        <v/>
      </c>
      <c r="G408" s="8">
        <f>IF($F408="","",IF($F408&lt;TODAY(),"OVERDUE","ON TRACK"))</f>
        <v/>
      </c>
      <c r="H408" s="8">
        <f>IF($A408="","",IF(COUNTIFS('Blind Count Entry'!$C:$C,$A408,'Blind Count Entry'!$B:$B,"&gt;="&amp;DATE(YEAR(TODAY()),MONTH(TODAY()),1),'Blind Count Entry'!$B:$B,"&lt;="&amp;EOMONTH(TODAY(),0))&gt;0,"YES","NO"))</f>
        <v/>
      </c>
    </row>
    <row r="409">
      <c r="A409" s="8">
        <f>IF('Master Inventory'!A407="","",'Master Inventory'!A407)</f>
        <v/>
      </c>
      <c r="B409" s="8">
        <f>IF($A409="","",INDEX('Master Inventory'!$B:$B,MATCH($A409,'Master Inventory'!$A:$A,0)))</f>
        <v/>
      </c>
      <c r="C409" s="8">
        <f>IF($A409="","",IFERROR(INDEX('ABC Analysis'!$F:$F,MATCH($A409,'ABC Analysis'!$A:$A,0)),""))</f>
        <v/>
      </c>
      <c r="D409" s="8">
        <f>IF($C409="","",IF($C409="A",$K$1,IF($C409="B",$M$1,$O$1)))</f>
        <v/>
      </c>
      <c r="E409" s="12" t="n"/>
      <c r="F409" s="13">
        <f>IF(OR($A409="",$E409=""),"",$E409+$D409)</f>
        <v/>
      </c>
      <c r="G409" s="8">
        <f>IF($F409="","",IF($F409&lt;TODAY(),"OVERDUE","ON TRACK"))</f>
        <v/>
      </c>
      <c r="H409" s="8">
        <f>IF($A409="","",IF(COUNTIFS('Blind Count Entry'!$C:$C,$A409,'Blind Count Entry'!$B:$B,"&gt;="&amp;DATE(YEAR(TODAY()),MONTH(TODAY()),1),'Blind Count Entry'!$B:$B,"&lt;="&amp;EOMONTH(TODAY(),0))&gt;0,"YES","NO"))</f>
        <v/>
      </c>
    </row>
    <row r="410">
      <c r="A410" s="8">
        <f>IF('Master Inventory'!A408="","",'Master Inventory'!A408)</f>
        <v/>
      </c>
      <c r="B410" s="8">
        <f>IF($A410="","",INDEX('Master Inventory'!$B:$B,MATCH($A410,'Master Inventory'!$A:$A,0)))</f>
        <v/>
      </c>
      <c r="C410" s="8">
        <f>IF($A410="","",IFERROR(INDEX('ABC Analysis'!$F:$F,MATCH($A410,'ABC Analysis'!$A:$A,0)),""))</f>
        <v/>
      </c>
      <c r="D410" s="8">
        <f>IF($C410="","",IF($C410="A",$K$1,IF($C410="B",$M$1,$O$1)))</f>
        <v/>
      </c>
      <c r="E410" s="12" t="n"/>
      <c r="F410" s="13">
        <f>IF(OR($A410="",$E410=""),"",$E410+$D410)</f>
        <v/>
      </c>
      <c r="G410" s="8">
        <f>IF($F410="","",IF($F410&lt;TODAY(),"OVERDUE","ON TRACK"))</f>
        <v/>
      </c>
      <c r="H410" s="8">
        <f>IF($A410="","",IF(COUNTIFS('Blind Count Entry'!$C:$C,$A410,'Blind Count Entry'!$B:$B,"&gt;="&amp;DATE(YEAR(TODAY()),MONTH(TODAY()),1),'Blind Count Entry'!$B:$B,"&lt;="&amp;EOMONTH(TODAY(),0))&gt;0,"YES","NO"))</f>
        <v/>
      </c>
    </row>
    <row r="411">
      <c r="A411" s="8">
        <f>IF('Master Inventory'!A409="","",'Master Inventory'!A409)</f>
        <v/>
      </c>
      <c r="B411" s="8">
        <f>IF($A411="","",INDEX('Master Inventory'!$B:$B,MATCH($A411,'Master Inventory'!$A:$A,0)))</f>
        <v/>
      </c>
      <c r="C411" s="8">
        <f>IF($A411="","",IFERROR(INDEX('ABC Analysis'!$F:$F,MATCH($A411,'ABC Analysis'!$A:$A,0)),""))</f>
        <v/>
      </c>
      <c r="D411" s="8">
        <f>IF($C411="","",IF($C411="A",$K$1,IF($C411="B",$M$1,$O$1)))</f>
        <v/>
      </c>
      <c r="E411" s="12" t="n"/>
      <c r="F411" s="13">
        <f>IF(OR($A411="",$E411=""),"",$E411+$D411)</f>
        <v/>
      </c>
      <c r="G411" s="8">
        <f>IF($F411="","",IF($F411&lt;TODAY(),"OVERDUE","ON TRACK"))</f>
        <v/>
      </c>
      <c r="H411" s="8">
        <f>IF($A411="","",IF(COUNTIFS('Blind Count Entry'!$C:$C,$A411,'Blind Count Entry'!$B:$B,"&gt;="&amp;DATE(YEAR(TODAY()),MONTH(TODAY()),1),'Blind Count Entry'!$B:$B,"&lt;="&amp;EOMONTH(TODAY(),0))&gt;0,"YES","NO"))</f>
        <v/>
      </c>
    </row>
    <row r="412">
      <c r="A412" s="8">
        <f>IF('Master Inventory'!A410="","",'Master Inventory'!A410)</f>
        <v/>
      </c>
      <c r="B412" s="8">
        <f>IF($A412="","",INDEX('Master Inventory'!$B:$B,MATCH($A412,'Master Inventory'!$A:$A,0)))</f>
        <v/>
      </c>
      <c r="C412" s="8">
        <f>IF($A412="","",IFERROR(INDEX('ABC Analysis'!$F:$F,MATCH($A412,'ABC Analysis'!$A:$A,0)),""))</f>
        <v/>
      </c>
      <c r="D412" s="8">
        <f>IF($C412="","",IF($C412="A",$K$1,IF($C412="B",$M$1,$O$1)))</f>
        <v/>
      </c>
      <c r="E412" s="12" t="n"/>
      <c r="F412" s="13">
        <f>IF(OR($A412="",$E412=""),"",$E412+$D412)</f>
        <v/>
      </c>
      <c r="G412" s="8">
        <f>IF($F412="","",IF($F412&lt;TODAY(),"OVERDUE","ON TRACK"))</f>
        <v/>
      </c>
      <c r="H412" s="8">
        <f>IF($A412="","",IF(COUNTIFS('Blind Count Entry'!$C:$C,$A412,'Blind Count Entry'!$B:$B,"&gt;="&amp;DATE(YEAR(TODAY()),MONTH(TODAY()),1),'Blind Count Entry'!$B:$B,"&lt;="&amp;EOMONTH(TODAY(),0))&gt;0,"YES","NO"))</f>
        <v/>
      </c>
    </row>
    <row r="413">
      <c r="A413" s="8">
        <f>IF('Master Inventory'!A411="","",'Master Inventory'!A411)</f>
        <v/>
      </c>
      <c r="B413" s="8">
        <f>IF($A413="","",INDEX('Master Inventory'!$B:$B,MATCH($A413,'Master Inventory'!$A:$A,0)))</f>
        <v/>
      </c>
      <c r="C413" s="8">
        <f>IF($A413="","",IFERROR(INDEX('ABC Analysis'!$F:$F,MATCH($A413,'ABC Analysis'!$A:$A,0)),""))</f>
        <v/>
      </c>
      <c r="D413" s="8">
        <f>IF($C413="","",IF($C413="A",$K$1,IF($C413="B",$M$1,$O$1)))</f>
        <v/>
      </c>
      <c r="E413" s="12" t="n"/>
      <c r="F413" s="13">
        <f>IF(OR($A413="",$E413=""),"",$E413+$D413)</f>
        <v/>
      </c>
      <c r="G413" s="8">
        <f>IF($F413="","",IF($F413&lt;TODAY(),"OVERDUE","ON TRACK"))</f>
        <v/>
      </c>
      <c r="H413" s="8">
        <f>IF($A413="","",IF(COUNTIFS('Blind Count Entry'!$C:$C,$A413,'Blind Count Entry'!$B:$B,"&gt;="&amp;DATE(YEAR(TODAY()),MONTH(TODAY()),1),'Blind Count Entry'!$B:$B,"&lt;="&amp;EOMONTH(TODAY(),0))&gt;0,"YES","NO"))</f>
        <v/>
      </c>
    </row>
    <row r="414">
      <c r="A414" s="8">
        <f>IF('Master Inventory'!A412="","",'Master Inventory'!A412)</f>
        <v/>
      </c>
      <c r="B414" s="8">
        <f>IF($A414="","",INDEX('Master Inventory'!$B:$B,MATCH($A414,'Master Inventory'!$A:$A,0)))</f>
        <v/>
      </c>
      <c r="C414" s="8">
        <f>IF($A414="","",IFERROR(INDEX('ABC Analysis'!$F:$F,MATCH($A414,'ABC Analysis'!$A:$A,0)),""))</f>
        <v/>
      </c>
      <c r="D414" s="8">
        <f>IF($C414="","",IF($C414="A",$K$1,IF($C414="B",$M$1,$O$1)))</f>
        <v/>
      </c>
      <c r="E414" s="12" t="n"/>
      <c r="F414" s="13">
        <f>IF(OR($A414="",$E414=""),"",$E414+$D414)</f>
        <v/>
      </c>
      <c r="G414" s="8">
        <f>IF($F414="","",IF($F414&lt;TODAY(),"OVERDUE","ON TRACK"))</f>
        <v/>
      </c>
      <c r="H414" s="8">
        <f>IF($A414="","",IF(COUNTIFS('Blind Count Entry'!$C:$C,$A414,'Blind Count Entry'!$B:$B,"&gt;="&amp;DATE(YEAR(TODAY()),MONTH(TODAY()),1),'Blind Count Entry'!$B:$B,"&lt;="&amp;EOMONTH(TODAY(),0))&gt;0,"YES","NO"))</f>
        <v/>
      </c>
    </row>
    <row r="415">
      <c r="A415" s="8">
        <f>IF('Master Inventory'!A413="","",'Master Inventory'!A413)</f>
        <v/>
      </c>
      <c r="B415" s="8">
        <f>IF($A415="","",INDEX('Master Inventory'!$B:$B,MATCH($A415,'Master Inventory'!$A:$A,0)))</f>
        <v/>
      </c>
      <c r="C415" s="8">
        <f>IF($A415="","",IFERROR(INDEX('ABC Analysis'!$F:$F,MATCH($A415,'ABC Analysis'!$A:$A,0)),""))</f>
        <v/>
      </c>
      <c r="D415" s="8">
        <f>IF($C415="","",IF($C415="A",$K$1,IF($C415="B",$M$1,$O$1)))</f>
        <v/>
      </c>
      <c r="E415" s="12" t="n"/>
      <c r="F415" s="13">
        <f>IF(OR($A415="",$E415=""),"",$E415+$D415)</f>
        <v/>
      </c>
      <c r="G415" s="8">
        <f>IF($F415="","",IF($F415&lt;TODAY(),"OVERDUE","ON TRACK"))</f>
        <v/>
      </c>
      <c r="H415" s="8">
        <f>IF($A415="","",IF(COUNTIFS('Blind Count Entry'!$C:$C,$A415,'Blind Count Entry'!$B:$B,"&gt;="&amp;DATE(YEAR(TODAY()),MONTH(TODAY()),1),'Blind Count Entry'!$B:$B,"&lt;="&amp;EOMONTH(TODAY(),0))&gt;0,"YES","NO"))</f>
        <v/>
      </c>
    </row>
    <row r="416">
      <c r="A416" s="8">
        <f>IF('Master Inventory'!A414="","",'Master Inventory'!A414)</f>
        <v/>
      </c>
      <c r="B416" s="8">
        <f>IF($A416="","",INDEX('Master Inventory'!$B:$B,MATCH($A416,'Master Inventory'!$A:$A,0)))</f>
        <v/>
      </c>
      <c r="C416" s="8">
        <f>IF($A416="","",IFERROR(INDEX('ABC Analysis'!$F:$F,MATCH($A416,'ABC Analysis'!$A:$A,0)),""))</f>
        <v/>
      </c>
      <c r="D416" s="8">
        <f>IF($C416="","",IF($C416="A",$K$1,IF($C416="B",$M$1,$O$1)))</f>
        <v/>
      </c>
      <c r="E416" s="12" t="n"/>
      <c r="F416" s="13">
        <f>IF(OR($A416="",$E416=""),"",$E416+$D416)</f>
        <v/>
      </c>
      <c r="G416" s="8">
        <f>IF($F416="","",IF($F416&lt;TODAY(),"OVERDUE","ON TRACK"))</f>
        <v/>
      </c>
      <c r="H416" s="8">
        <f>IF($A416="","",IF(COUNTIFS('Blind Count Entry'!$C:$C,$A416,'Blind Count Entry'!$B:$B,"&gt;="&amp;DATE(YEAR(TODAY()),MONTH(TODAY()),1),'Blind Count Entry'!$B:$B,"&lt;="&amp;EOMONTH(TODAY(),0))&gt;0,"YES","NO"))</f>
        <v/>
      </c>
    </row>
    <row r="417">
      <c r="A417" s="8">
        <f>IF('Master Inventory'!A415="","",'Master Inventory'!A415)</f>
        <v/>
      </c>
      <c r="B417" s="8">
        <f>IF($A417="","",INDEX('Master Inventory'!$B:$B,MATCH($A417,'Master Inventory'!$A:$A,0)))</f>
        <v/>
      </c>
      <c r="C417" s="8">
        <f>IF($A417="","",IFERROR(INDEX('ABC Analysis'!$F:$F,MATCH($A417,'ABC Analysis'!$A:$A,0)),""))</f>
        <v/>
      </c>
      <c r="D417" s="8">
        <f>IF($C417="","",IF($C417="A",$K$1,IF($C417="B",$M$1,$O$1)))</f>
        <v/>
      </c>
      <c r="E417" s="12" t="n"/>
      <c r="F417" s="13">
        <f>IF(OR($A417="",$E417=""),"",$E417+$D417)</f>
        <v/>
      </c>
      <c r="G417" s="8">
        <f>IF($F417="","",IF($F417&lt;TODAY(),"OVERDUE","ON TRACK"))</f>
        <v/>
      </c>
      <c r="H417" s="8">
        <f>IF($A417="","",IF(COUNTIFS('Blind Count Entry'!$C:$C,$A417,'Blind Count Entry'!$B:$B,"&gt;="&amp;DATE(YEAR(TODAY()),MONTH(TODAY()),1),'Blind Count Entry'!$B:$B,"&lt;="&amp;EOMONTH(TODAY(),0))&gt;0,"YES","NO"))</f>
        <v/>
      </c>
    </row>
    <row r="418">
      <c r="A418" s="8">
        <f>IF('Master Inventory'!A416="","",'Master Inventory'!A416)</f>
        <v/>
      </c>
      <c r="B418" s="8">
        <f>IF($A418="","",INDEX('Master Inventory'!$B:$B,MATCH($A418,'Master Inventory'!$A:$A,0)))</f>
        <v/>
      </c>
      <c r="C418" s="8">
        <f>IF($A418="","",IFERROR(INDEX('ABC Analysis'!$F:$F,MATCH($A418,'ABC Analysis'!$A:$A,0)),""))</f>
        <v/>
      </c>
      <c r="D418" s="8">
        <f>IF($C418="","",IF($C418="A",$K$1,IF($C418="B",$M$1,$O$1)))</f>
        <v/>
      </c>
      <c r="E418" s="12" t="n"/>
      <c r="F418" s="13">
        <f>IF(OR($A418="",$E418=""),"",$E418+$D418)</f>
        <v/>
      </c>
      <c r="G418" s="8">
        <f>IF($F418="","",IF($F418&lt;TODAY(),"OVERDUE","ON TRACK"))</f>
        <v/>
      </c>
      <c r="H418" s="8">
        <f>IF($A418="","",IF(COUNTIFS('Blind Count Entry'!$C:$C,$A418,'Blind Count Entry'!$B:$B,"&gt;="&amp;DATE(YEAR(TODAY()),MONTH(TODAY()),1),'Blind Count Entry'!$B:$B,"&lt;="&amp;EOMONTH(TODAY(),0))&gt;0,"YES","NO"))</f>
        <v/>
      </c>
    </row>
    <row r="419">
      <c r="A419" s="8">
        <f>IF('Master Inventory'!A417="","",'Master Inventory'!A417)</f>
        <v/>
      </c>
      <c r="B419" s="8">
        <f>IF($A419="","",INDEX('Master Inventory'!$B:$B,MATCH($A419,'Master Inventory'!$A:$A,0)))</f>
        <v/>
      </c>
      <c r="C419" s="8">
        <f>IF($A419="","",IFERROR(INDEX('ABC Analysis'!$F:$F,MATCH($A419,'ABC Analysis'!$A:$A,0)),""))</f>
        <v/>
      </c>
      <c r="D419" s="8">
        <f>IF($C419="","",IF($C419="A",$K$1,IF($C419="B",$M$1,$O$1)))</f>
        <v/>
      </c>
      <c r="E419" s="12" t="n"/>
      <c r="F419" s="13">
        <f>IF(OR($A419="",$E419=""),"",$E419+$D419)</f>
        <v/>
      </c>
      <c r="G419" s="8">
        <f>IF($F419="","",IF($F419&lt;TODAY(),"OVERDUE","ON TRACK"))</f>
        <v/>
      </c>
      <c r="H419" s="8">
        <f>IF($A419="","",IF(COUNTIFS('Blind Count Entry'!$C:$C,$A419,'Blind Count Entry'!$B:$B,"&gt;="&amp;DATE(YEAR(TODAY()),MONTH(TODAY()),1),'Blind Count Entry'!$B:$B,"&lt;="&amp;EOMONTH(TODAY(),0))&gt;0,"YES","NO"))</f>
        <v/>
      </c>
    </row>
    <row r="420">
      <c r="A420" s="8">
        <f>IF('Master Inventory'!A418="","",'Master Inventory'!A418)</f>
        <v/>
      </c>
      <c r="B420" s="8">
        <f>IF($A420="","",INDEX('Master Inventory'!$B:$B,MATCH($A420,'Master Inventory'!$A:$A,0)))</f>
        <v/>
      </c>
      <c r="C420" s="8">
        <f>IF($A420="","",IFERROR(INDEX('ABC Analysis'!$F:$F,MATCH($A420,'ABC Analysis'!$A:$A,0)),""))</f>
        <v/>
      </c>
      <c r="D420" s="8">
        <f>IF($C420="","",IF($C420="A",$K$1,IF($C420="B",$M$1,$O$1)))</f>
        <v/>
      </c>
      <c r="E420" s="12" t="n"/>
      <c r="F420" s="13">
        <f>IF(OR($A420="",$E420=""),"",$E420+$D420)</f>
        <v/>
      </c>
      <c r="G420" s="8">
        <f>IF($F420="","",IF($F420&lt;TODAY(),"OVERDUE","ON TRACK"))</f>
        <v/>
      </c>
      <c r="H420" s="8">
        <f>IF($A420="","",IF(COUNTIFS('Blind Count Entry'!$C:$C,$A420,'Blind Count Entry'!$B:$B,"&gt;="&amp;DATE(YEAR(TODAY()),MONTH(TODAY()),1),'Blind Count Entry'!$B:$B,"&lt;="&amp;EOMONTH(TODAY(),0))&gt;0,"YES","NO"))</f>
        <v/>
      </c>
    </row>
    <row r="421">
      <c r="A421" s="8">
        <f>IF('Master Inventory'!A419="","",'Master Inventory'!A419)</f>
        <v/>
      </c>
      <c r="B421" s="8">
        <f>IF($A421="","",INDEX('Master Inventory'!$B:$B,MATCH($A421,'Master Inventory'!$A:$A,0)))</f>
        <v/>
      </c>
      <c r="C421" s="8">
        <f>IF($A421="","",IFERROR(INDEX('ABC Analysis'!$F:$F,MATCH($A421,'ABC Analysis'!$A:$A,0)),""))</f>
        <v/>
      </c>
      <c r="D421" s="8">
        <f>IF($C421="","",IF($C421="A",$K$1,IF($C421="B",$M$1,$O$1)))</f>
        <v/>
      </c>
      <c r="E421" s="12" t="n"/>
      <c r="F421" s="13">
        <f>IF(OR($A421="",$E421=""),"",$E421+$D421)</f>
        <v/>
      </c>
      <c r="G421" s="8">
        <f>IF($F421="","",IF($F421&lt;TODAY(),"OVERDUE","ON TRACK"))</f>
        <v/>
      </c>
      <c r="H421" s="8">
        <f>IF($A421="","",IF(COUNTIFS('Blind Count Entry'!$C:$C,$A421,'Blind Count Entry'!$B:$B,"&gt;="&amp;DATE(YEAR(TODAY()),MONTH(TODAY()),1),'Blind Count Entry'!$B:$B,"&lt;="&amp;EOMONTH(TODAY(),0))&gt;0,"YES","NO"))</f>
        <v/>
      </c>
    </row>
    <row r="422">
      <c r="A422" s="8">
        <f>IF('Master Inventory'!A420="","",'Master Inventory'!A420)</f>
        <v/>
      </c>
      <c r="B422" s="8">
        <f>IF($A422="","",INDEX('Master Inventory'!$B:$B,MATCH($A422,'Master Inventory'!$A:$A,0)))</f>
        <v/>
      </c>
      <c r="C422" s="8">
        <f>IF($A422="","",IFERROR(INDEX('ABC Analysis'!$F:$F,MATCH($A422,'ABC Analysis'!$A:$A,0)),""))</f>
        <v/>
      </c>
      <c r="D422" s="8">
        <f>IF($C422="","",IF($C422="A",$K$1,IF($C422="B",$M$1,$O$1)))</f>
        <v/>
      </c>
      <c r="E422" s="12" t="n"/>
      <c r="F422" s="13">
        <f>IF(OR($A422="",$E422=""),"",$E422+$D422)</f>
        <v/>
      </c>
      <c r="G422" s="8">
        <f>IF($F422="","",IF($F422&lt;TODAY(),"OVERDUE","ON TRACK"))</f>
        <v/>
      </c>
      <c r="H422" s="8">
        <f>IF($A422="","",IF(COUNTIFS('Blind Count Entry'!$C:$C,$A422,'Blind Count Entry'!$B:$B,"&gt;="&amp;DATE(YEAR(TODAY()),MONTH(TODAY()),1),'Blind Count Entry'!$B:$B,"&lt;="&amp;EOMONTH(TODAY(),0))&gt;0,"YES","NO"))</f>
        <v/>
      </c>
    </row>
    <row r="423">
      <c r="A423" s="8">
        <f>IF('Master Inventory'!A421="","",'Master Inventory'!A421)</f>
        <v/>
      </c>
      <c r="B423" s="8">
        <f>IF($A423="","",INDEX('Master Inventory'!$B:$B,MATCH($A423,'Master Inventory'!$A:$A,0)))</f>
        <v/>
      </c>
      <c r="C423" s="8">
        <f>IF($A423="","",IFERROR(INDEX('ABC Analysis'!$F:$F,MATCH($A423,'ABC Analysis'!$A:$A,0)),""))</f>
        <v/>
      </c>
      <c r="D423" s="8">
        <f>IF($C423="","",IF($C423="A",$K$1,IF($C423="B",$M$1,$O$1)))</f>
        <v/>
      </c>
      <c r="E423" s="12" t="n"/>
      <c r="F423" s="13">
        <f>IF(OR($A423="",$E423=""),"",$E423+$D423)</f>
        <v/>
      </c>
      <c r="G423" s="8">
        <f>IF($F423="","",IF($F423&lt;TODAY(),"OVERDUE","ON TRACK"))</f>
        <v/>
      </c>
      <c r="H423" s="8">
        <f>IF($A423="","",IF(COUNTIFS('Blind Count Entry'!$C:$C,$A423,'Blind Count Entry'!$B:$B,"&gt;="&amp;DATE(YEAR(TODAY()),MONTH(TODAY()),1),'Blind Count Entry'!$B:$B,"&lt;="&amp;EOMONTH(TODAY(),0))&gt;0,"YES","NO"))</f>
        <v/>
      </c>
    </row>
    <row r="424">
      <c r="A424" s="8">
        <f>IF('Master Inventory'!A422="","",'Master Inventory'!A422)</f>
        <v/>
      </c>
      <c r="B424" s="8">
        <f>IF($A424="","",INDEX('Master Inventory'!$B:$B,MATCH($A424,'Master Inventory'!$A:$A,0)))</f>
        <v/>
      </c>
      <c r="C424" s="8">
        <f>IF($A424="","",IFERROR(INDEX('ABC Analysis'!$F:$F,MATCH($A424,'ABC Analysis'!$A:$A,0)),""))</f>
        <v/>
      </c>
      <c r="D424" s="8">
        <f>IF($C424="","",IF($C424="A",$K$1,IF($C424="B",$M$1,$O$1)))</f>
        <v/>
      </c>
      <c r="E424" s="12" t="n"/>
      <c r="F424" s="13">
        <f>IF(OR($A424="",$E424=""),"",$E424+$D424)</f>
        <v/>
      </c>
      <c r="G424" s="8">
        <f>IF($F424="","",IF($F424&lt;TODAY(),"OVERDUE","ON TRACK"))</f>
        <v/>
      </c>
      <c r="H424" s="8">
        <f>IF($A424="","",IF(COUNTIFS('Blind Count Entry'!$C:$C,$A424,'Blind Count Entry'!$B:$B,"&gt;="&amp;DATE(YEAR(TODAY()),MONTH(TODAY()),1),'Blind Count Entry'!$B:$B,"&lt;="&amp;EOMONTH(TODAY(),0))&gt;0,"YES","NO"))</f>
        <v/>
      </c>
    </row>
    <row r="425">
      <c r="A425" s="8">
        <f>IF('Master Inventory'!A423="","",'Master Inventory'!A423)</f>
        <v/>
      </c>
      <c r="B425" s="8">
        <f>IF($A425="","",INDEX('Master Inventory'!$B:$B,MATCH($A425,'Master Inventory'!$A:$A,0)))</f>
        <v/>
      </c>
      <c r="C425" s="8">
        <f>IF($A425="","",IFERROR(INDEX('ABC Analysis'!$F:$F,MATCH($A425,'ABC Analysis'!$A:$A,0)),""))</f>
        <v/>
      </c>
      <c r="D425" s="8">
        <f>IF($C425="","",IF($C425="A",$K$1,IF($C425="B",$M$1,$O$1)))</f>
        <v/>
      </c>
      <c r="E425" s="12" t="n"/>
      <c r="F425" s="13">
        <f>IF(OR($A425="",$E425=""),"",$E425+$D425)</f>
        <v/>
      </c>
      <c r="G425" s="8">
        <f>IF($F425="","",IF($F425&lt;TODAY(),"OVERDUE","ON TRACK"))</f>
        <v/>
      </c>
      <c r="H425" s="8">
        <f>IF($A425="","",IF(COUNTIFS('Blind Count Entry'!$C:$C,$A425,'Blind Count Entry'!$B:$B,"&gt;="&amp;DATE(YEAR(TODAY()),MONTH(TODAY()),1),'Blind Count Entry'!$B:$B,"&lt;="&amp;EOMONTH(TODAY(),0))&gt;0,"YES","NO"))</f>
        <v/>
      </c>
    </row>
    <row r="426">
      <c r="A426" s="8">
        <f>IF('Master Inventory'!A424="","",'Master Inventory'!A424)</f>
        <v/>
      </c>
      <c r="B426" s="8">
        <f>IF($A426="","",INDEX('Master Inventory'!$B:$B,MATCH($A426,'Master Inventory'!$A:$A,0)))</f>
        <v/>
      </c>
      <c r="C426" s="8">
        <f>IF($A426="","",IFERROR(INDEX('ABC Analysis'!$F:$F,MATCH($A426,'ABC Analysis'!$A:$A,0)),""))</f>
        <v/>
      </c>
      <c r="D426" s="8">
        <f>IF($C426="","",IF($C426="A",$K$1,IF($C426="B",$M$1,$O$1)))</f>
        <v/>
      </c>
      <c r="E426" s="12" t="n"/>
      <c r="F426" s="13">
        <f>IF(OR($A426="",$E426=""),"",$E426+$D426)</f>
        <v/>
      </c>
      <c r="G426" s="8">
        <f>IF($F426="","",IF($F426&lt;TODAY(),"OVERDUE","ON TRACK"))</f>
        <v/>
      </c>
      <c r="H426" s="8">
        <f>IF($A426="","",IF(COUNTIFS('Blind Count Entry'!$C:$C,$A426,'Blind Count Entry'!$B:$B,"&gt;="&amp;DATE(YEAR(TODAY()),MONTH(TODAY()),1),'Blind Count Entry'!$B:$B,"&lt;="&amp;EOMONTH(TODAY(),0))&gt;0,"YES","NO"))</f>
        <v/>
      </c>
    </row>
    <row r="427">
      <c r="A427" s="8">
        <f>IF('Master Inventory'!A425="","",'Master Inventory'!A425)</f>
        <v/>
      </c>
      <c r="B427" s="8">
        <f>IF($A427="","",INDEX('Master Inventory'!$B:$B,MATCH($A427,'Master Inventory'!$A:$A,0)))</f>
        <v/>
      </c>
      <c r="C427" s="8">
        <f>IF($A427="","",IFERROR(INDEX('ABC Analysis'!$F:$F,MATCH($A427,'ABC Analysis'!$A:$A,0)),""))</f>
        <v/>
      </c>
      <c r="D427" s="8">
        <f>IF($C427="","",IF($C427="A",$K$1,IF($C427="B",$M$1,$O$1)))</f>
        <v/>
      </c>
      <c r="E427" s="12" t="n"/>
      <c r="F427" s="13">
        <f>IF(OR($A427="",$E427=""),"",$E427+$D427)</f>
        <v/>
      </c>
      <c r="G427" s="8">
        <f>IF($F427="","",IF($F427&lt;TODAY(),"OVERDUE","ON TRACK"))</f>
        <v/>
      </c>
      <c r="H427" s="8">
        <f>IF($A427="","",IF(COUNTIFS('Blind Count Entry'!$C:$C,$A427,'Blind Count Entry'!$B:$B,"&gt;="&amp;DATE(YEAR(TODAY()),MONTH(TODAY()),1),'Blind Count Entry'!$B:$B,"&lt;="&amp;EOMONTH(TODAY(),0))&gt;0,"YES","NO"))</f>
        <v/>
      </c>
    </row>
    <row r="428">
      <c r="A428" s="8">
        <f>IF('Master Inventory'!A426="","",'Master Inventory'!A426)</f>
        <v/>
      </c>
      <c r="B428" s="8">
        <f>IF($A428="","",INDEX('Master Inventory'!$B:$B,MATCH($A428,'Master Inventory'!$A:$A,0)))</f>
        <v/>
      </c>
      <c r="C428" s="8">
        <f>IF($A428="","",IFERROR(INDEX('ABC Analysis'!$F:$F,MATCH($A428,'ABC Analysis'!$A:$A,0)),""))</f>
        <v/>
      </c>
      <c r="D428" s="8">
        <f>IF($C428="","",IF($C428="A",$K$1,IF($C428="B",$M$1,$O$1)))</f>
        <v/>
      </c>
      <c r="E428" s="12" t="n"/>
      <c r="F428" s="13">
        <f>IF(OR($A428="",$E428=""),"",$E428+$D428)</f>
        <v/>
      </c>
      <c r="G428" s="8">
        <f>IF($F428="","",IF($F428&lt;TODAY(),"OVERDUE","ON TRACK"))</f>
        <v/>
      </c>
      <c r="H428" s="8">
        <f>IF($A428="","",IF(COUNTIFS('Blind Count Entry'!$C:$C,$A428,'Blind Count Entry'!$B:$B,"&gt;="&amp;DATE(YEAR(TODAY()),MONTH(TODAY()),1),'Blind Count Entry'!$B:$B,"&lt;="&amp;EOMONTH(TODAY(),0))&gt;0,"YES","NO"))</f>
        <v/>
      </c>
    </row>
    <row r="429">
      <c r="A429" s="8">
        <f>IF('Master Inventory'!A427="","",'Master Inventory'!A427)</f>
        <v/>
      </c>
      <c r="B429" s="8">
        <f>IF($A429="","",INDEX('Master Inventory'!$B:$B,MATCH($A429,'Master Inventory'!$A:$A,0)))</f>
        <v/>
      </c>
      <c r="C429" s="8">
        <f>IF($A429="","",IFERROR(INDEX('ABC Analysis'!$F:$F,MATCH($A429,'ABC Analysis'!$A:$A,0)),""))</f>
        <v/>
      </c>
      <c r="D429" s="8">
        <f>IF($C429="","",IF($C429="A",$K$1,IF($C429="B",$M$1,$O$1)))</f>
        <v/>
      </c>
      <c r="E429" s="12" t="n"/>
      <c r="F429" s="13">
        <f>IF(OR($A429="",$E429=""),"",$E429+$D429)</f>
        <v/>
      </c>
      <c r="G429" s="8">
        <f>IF($F429="","",IF($F429&lt;TODAY(),"OVERDUE","ON TRACK"))</f>
        <v/>
      </c>
      <c r="H429" s="8">
        <f>IF($A429="","",IF(COUNTIFS('Blind Count Entry'!$C:$C,$A429,'Blind Count Entry'!$B:$B,"&gt;="&amp;DATE(YEAR(TODAY()),MONTH(TODAY()),1),'Blind Count Entry'!$B:$B,"&lt;="&amp;EOMONTH(TODAY(),0))&gt;0,"YES","NO"))</f>
        <v/>
      </c>
    </row>
    <row r="430">
      <c r="A430" s="8">
        <f>IF('Master Inventory'!A428="","",'Master Inventory'!A428)</f>
        <v/>
      </c>
      <c r="B430" s="8">
        <f>IF($A430="","",INDEX('Master Inventory'!$B:$B,MATCH($A430,'Master Inventory'!$A:$A,0)))</f>
        <v/>
      </c>
      <c r="C430" s="8">
        <f>IF($A430="","",IFERROR(INDEX('ABC Analysis'!$F:$F,MATCH($A430,'ABC Analysis'!$A:$A,0)),""))</f>
        <v/>
      </c>
      <c r="D430" s="8">
        <f>IF($C430="","",IF($C430="A",$K$1,IF($C430="B",$M$1,$O$1)))</f>
        <v/>
      </c>
      <c r="E430" s="12" t="n"/>
      <c r="F430" s="13">
        <f>IF(OR($A430="",$E430=""),"",$E430+$D430)</f>
        <v/>
      </c>
      <c r="G430" s="8">
        <f>IF($F430="","",IF($F430&lt;TODAY(),"OVERDUE","ON TRACK"))</f>
        <v/>
      </c>
      <c r="H430" s="8">
        <f>IF($A430="","",IF(COUNTIFS('Blind Count Entry'!$C:$C,$A430,'Blind Count Entry'!$B:$B,"&gt;="&amp;DATE(YEAR(TODAY()),MONTH(TODAY()),1),'Blind Count Entry'!$B:$B,"&lt;="&amp;EOMONTH(TODAY(),0))&gt;0,"YES","NO"))</f>
        <v/>
      </c>
    </row>
    <row r="431">
      <c r="A431" s="8">
        <f>IF('Master Inventory'!A429="","",'Master Inventory'!A429)</f>
        <v/>
      </c>
      <c r="B431" s="8">
        <f>IF($A431="","",INDEX('Master Inventory'!$B:$B,MATCH($A431,'Master Inventory'!$A:$A,0)))</f>
        <v/>
      </c>
      <c r="C431" s="8">
        <f>IF($A431="","",IFERROR(INDEX('ABC Analysis'!$F:$F,MATCH($A431,'ABC Analysis'!$A:$A,0)),""))</f>
        <v/>
      </c>
      <c r="D431" s="8">
        <f>IF($C431="","",IF($C431="A",$K$1,IF($C431="B",$M$1,$O$1)))</f>
        <v/>
      </c>
      <c r="E431" s="12" t="n"/>
      <c r="F431" s="13">
        <f>IF(OR($A431="",$E431=""),"",$E431+$D431)</f>
        <v/>
      </c>
      <c r="G431" s="8">
        <f>IF($F431="","",IF($F431&lt;TODAY(),"OVERDUE","ON TRACK"))</f>
        <v/>
      </c>
      <c r="H431" s="8">
        <f>IF($A431="","",IF(COUNTIFS('Blind Count Entry'!$C:$C,$A431,'Blind Count Entry'!$B:$B,"&gt;="&amp;DATE(YEAR(TODAY()),MONTH(TODAY()),1),'Blind Count Entry'!$B:$B,"&lt;="&amp;EOMONTH(TODAY(),0))&gt;0,"YES","NO"))</f>
        <v/>
      </c>
    </row>
    <row r="432">
      <c r="A432" s="8">
        <f>IF('Master Inventory'!A430="","",'Master Inventory'!A430)</f>
        <v/>
      </c>
      <c r="B432" s="8">
        <f>IF($A432="","",INDEX('Master Inventory'!$B:$B,MATCH($A432,'Master Inventory'!$A:$A,0)))</f>
        <v/>
      </c>
      <c r="C432" s="8">
        <f>IF($A432="","",IFERROR(INDEX('ABC Analysis'!$F:$F,MATCH($A432,'ABC Analysis'!$A:$A,0)),""))</f>
        <v/>
      </c>
      <c r="D432" s="8">
        <f>IF($C432="","",IF($C432="A",$K$1,IF($C432="B",$M$1,$O$1)))</f>
        <v/>
      </c>
      <c r="E432" s="12" t="n"/>
      <c r="F432" s="13">
        <f>IF(OR($A432="",$E432=""),"",$E432+$D432)</f>
        <v/>
      </c>
      <c r="G432" s="8">
        <f>IF($F432="","",IF($F432&lt;TODAY(),"OVERDUE","ON TRACK"))</f>
        <v/>
      </c>
      <c r="H432" s="8">
        <f>IF($A432="","",IF(COUNTIFS('Blind Count Entry'!$C:$C,$A432,'Blind Count Entry'!$B:$B,"&gt;="&amp;DATE(YEAR(TODAY()),MONTH(TODAY()),1),'Blind Count Entry'!$B:$B,"&lt;="&amp;EOMONTH(TODAY(),0))&gt;0,"YES","NO"))</f>
        <v/>
      </c>
    </row>
    <row r="433">
      <c r="A433" s="8">
        <f>IF('Master Inventory'!A431="","",'Master Inventory'!A431)</f>
        <v/>
      </c>
      <c r="B433" s="8">
        <f>IF($A433="","",INDEX('Master Inventory'!$B:$B,MATCH($A433,'Master Inventory'!$A:$A,0)))</f>
        <v/>
      </c>
      <c r="C433" s="8">
        <f>IF($A433="","",IFERROR(INDEX('ABC Analysis'!$F:$F,MATCH($A433,'ABC Analysis'!$A:$A,0)),""))</f>
        <v/>
      </c>
      <c r="D433" s="8">
        <f>IF($C433="","",IF($C433="A",$K$1,IF($C433="B",$M$1,$O$1)))</f>
        <v/>
      </c>
      <c r="E433" s="12" t="n"/>
      <c r="F433" s="13">
        <f>IF(OR($A433="",$E433=""),"",$E433+$D433)</f>
        <v/>
      </c>
      <c r="G433" s="8">
        <f>IF($F433="","",IF($F433&lt;TODAY(),"OVERDUE","ON TRACK"))</f>
        <v/>
      </c>
      <c r="H433" s="8">
        <f>IF($A433="","",IF(COUNTIFS('Blind Count Entry'!$C:$C,$A433,'Blind Count Entry'!$B:$B,"&gt;="&amp;DATE(YEAR(TODAY()),MONTH(TODAY()),1),'Blind Count Entry'!$B:$B,"&lt;="&amp;EOMONTH(TODAY(),0))&gt;0,"YES","NO"))</f>
        <v/>
      </c>
    </row>
    <row r="434">
      <c r="A434" s="8">
        <f>IF('Master Inventory'!A432="","",'Master Inventory'!A432)</f>
        <v/>
      </c>
      <c r="B434" s="8">
        <f>IF($A434="","",INDEX('Master Inventory'!$B:$B,MATCH($A434,'Master Inventory'!$A:$A,0)))</f>
        <v/>
      </c>
      <c r="C434" s="8">
        <f>IF($A434="","",IFERROR(INDEX('ABC Analysis'!$F:$F,MATCH($A434,'ABC Analysis'!$A:$A,0)),""))</f>
        <v/>
      </c>
      <c r="D434" s="8">
        <f>IF($C434="","",IF($C434="A",$K$1,IF($C434="B",$M$1,$O$1)))</f>
        <v/>
      </c>
      <c r="E434" s="12" t="n"/>
      <c r="F434" s="13">
        <f>IF(OR($A434="",$E434=""),"",$E434+$D434)</f>
        <v/>
      </c>
      <c r="G434" s="8">
        <f>IF($F434="","",IF($F434&lt;TODAY(),"OVERDUE","ON TRACK"))</f>
        <v/>
      </c>
      <c r="H434" s="8">
        <f>IF($A434="","",IF(COUNTIFS('Blind Count Entry'!$C:$C,$A434,'Blind Count Entry'!$B:$B,"&gt;="&amp;DATE(YEAR(TODAY()),MONTH(TODAY()),1),'Blind Count Entry'!$B:$B,"&lt;="&amp;EOMONTH(TODAY(),0))&gt;0,"YES","NO"))</f>
        <v/>
      </c>
    </row>
    <row r="435">
      <c r="A435" s="8">
        <f>IF('Master Inventory'!A433="","",'Master Inventory'!A433)</f>
        <v/>
      </c>
      <c r="B435" s="8">
        <f>IF($A435="","",INDEX('Master Inventory'!$B:$B,MATCH($A435,'Master Inventory'!$A:$A,0)))</f>
        <v/>
      </c>
      <c r="C435" s="8">
        <f>IF($A435="","",IFERROR(INDEX('ABC Analysis'!$F:$F,MATCH($A435,'ABC Analysis'!$A:$A,0)),""))</f>
        <v/>
      </c>
      <c r="D435" s="8">
        <f>IF($C435="","",IF($C435="A",$K$1,IF($C435="B",$M$1,$O$1)))</f>
        <v/>
      </c>
      <c r="E435" s="12" t="n"/>
      <c r="F435" s="13">
        <f>IF(OR($A435="",$E435=""),"",$E435+$D435)</f>
        <v/>
      </c>
      <c r="G435" s="8">
        <f>IF($F435="","",IF($F435&lt;TODAY(),"OVERDUE","ON TRACK"))</f>
        <v/>
      </c>
      <c r="H435" s="8">
        <f>IF($A435="","",IF(COUNTIFS('Blind Count Entry'!$C:$C,$A435,'Blind Count Entry'!$B:$B,"&gt;="&amp;DATE(YEAR(TODAY()),MONTH(TODAY()),1),'Blind Count Entry'!$B:$B,"&lt;="&amp;EOMONTH(TODAY(),0))&gt;0,"YES","NO"))</f>
        <v/>
      </c>
    </row>
    <row r="436">
      <c r="A436" s="8">
        <f>IF('Master Inventory'!A434="","",'Master Inventory'!A434)</f>
        <v/>
      </c>
      <c r="B436" s="8">
        <f>IF($A436="","",INDEX('Master Inventory'!$B:$B,MATCH($A436,'Master Inventory'!$A:$A,0)))</f>
        <v/>
      </c>
      <c r="C436" s="8">
        <f>IF($A436="","",IFERROR(INDEX('ABC Analysis'!$F:$F,MATCH($A436,'ABC Analysis'!$A:$A,0)),""))</f>
        <v/>
      </c>
      <c r="D436" s="8">
        <f>IF($C436="","",IF($C436="A",$K$1,IF($C436="B",$M$1,$O$1)))</f>
        <v/>
      </c>
      <c r="E436" s="12" t="n"/>
      <c r="F436" s="13">
        <f>IF(OR($A436="",$E436=""),"",$E436+$D436)</f>
        <v/>
      </c>
      <c r="G436" s="8">
        <f>IF($F436="","",IF($F436&lt;TODAY(),"OVERDUE","ON TRACK"))</f>
        <v/>
      </c>
      <c r="H436" s="8">
        <f>IF($A436="","",IF(COUNTIFS('Blind Count Entry'!$C:$C,$A436,'Blind Count Entry'!$B:$B,"&gt;="&amp;DATE(YEAR(TODAY()),MONTH(TODAY()),1),'Blind Count Entry'!$B:$B,"&lt;="&amp;EOMONTH(TODAY(),0))&gt;0,"YES","NO"))</f>
        <v/>
      </c>
    </row>
    <row r="437">
      <c r="A437" s="8">
        <f>IF('Master Inventory'!A435="","",'Master Inventory'!A435)</f>
        <v/>
      </c>
      <c r="B437" s="8">
        <f>IF($A437="","",INDEX('Master Inventory'!$B:$B,MATCH($A437,'Master Inventory'!$A:$A,0)))</f>
        <v/>
      </c>
      <c r="C437" s="8">
        <f>IF($A437="","",IFERROR(INDEX('ABC Analysis'!$F:$F,MATCH($A437,'ABC Analysis'!$A:$A,0)),""))</f>
        <v/>
      </c>
      <c r="D437" s="8">
        <f>IF($C437="","",IF($C437="A",$K$1,IF($C437="B",$M$1,$O$1)))</f>
        <v/>
      </c>
      <c r="E437" s="12" t="n"/>
      <c r="F437" s="13">
        <f>IF(OR($A437="",$E437=""),"",$E437+$D437)</f>
        <v/>
      </c>
      <c r="G437" s="8">
        <f>IF($F437="","",IF($F437&lt;TODAY(),"OVERDUE","ON TRACK"))</f>
        <v/>
      </c>
      <c r="H437" s="8">
        <f>IF($A437="","",IF(COUNTIFS('Blind Count Entry'!$C:$C,$A437,'Blind Count Entry'!$B:$B,"&gt;="&amp;DATE(YEAR(TODAY()),MONTH(TODAY()),1),'Blind Count Entry'!$B:$B,"&lt;="&amp;EOMONTH(TODAY(),0))&gt;0,"YES","NO"))</f>
        <v/>
      </c>
    </row>
    <row r="438">
      <c r="A438" s="8">
        <f>IF('Master Inventory'!A436="","",'Master Inventory'!A436)</f>
        <v/>
      </c>
      <c r="B438" s="8">
        <f>IF($A438="","",INDEX('Master Inventory'!$B:$B,MATCH($A438,'Master Inventory'!$A:$A,0)))</f>
        <v/>
      </c>
      <c r="C438" s="8">
        <f>IF($A438="","",IFERROR(INDEX('ABC Analysis'!$F:$F,MATCH($A438,'ABC Analysis'!$A:$A,0)),""))</f>
        <v/>
      </c>
      <c r="D438" s="8">
        <f>IF($C438="","",IF($C438="A",$K$1,IF($C438="B",$M$1,$O$1)))</f>
        <v/>
      </c>
      <c r="E438" s="12" t="n"/>
      <c r="F438" s="13">
        <f>IF(OR($A438="",$E438=""),"",$E438+$D438)</f>
        <v/>
      </c>
      <c r="G438" s="8">
        <f>IF($F438="","",IF($F438&lt;TODAY(),"OVERDUE","ON TRACK"))</f>
        <v/>
      </c>
      <c r="H438" s="8">
        <f>IF($A438="","",IF(COUNTIFS('Blind Count Entry'!$C:$C,$A438,'Blind Count Entry'!$B:$B,"&gt;="&amp;DATE(YEAR(TODAY()),MONTH(TODAY()),1),'Blind Count Entry'!$B:$B,"&lt;="&amp;EOMONTH(TODAY(),0))&gt;0,"YES","NO"))</f>
        <v/>
      </c>
    </row>
    <row r="439">
      <c r="A439" s="8">
        <f>IF('Master Inventory'!A437="","",'Master Inventory'!A437)</f>
        <v/>
      </c>
      <c r="B439" s="8">
        <f>IF($A439="","",INDEX('Master Inventory'!$B:$B,MATCH($A439,'Master Inventory'!$A:$A,0)))</f>
        <v/>
      </c>
      <c r="C439" s="8">
        <f>IF($A439="","",IFERROR(INDEX('ABC Analysis'!$F:$F,MATCH($A439,'ABC Analysis'!$A:$A,0)),""))</f>
        <v/>
      </c>
      <c r="D439" s="8">
        <f>IF($C439="","",IF($C439="A",$K$1,IF($C439="B",$M$1,$O$1)))</f>
        <v/>
      </c>
      <c r="E439" s="12" t="n"/>
      <c r="F439" s="13">
        <f>IF(OR($A439="",$E439=""),"",$E439+$D439)</f>
        <v/>
      </c>
      <c r="G439" s="8">
        <f>IF($F439="","",IF($F439&lt;TODAY(),"OVERDUE","ON TRACK"))</f>
        <v/>
      </c>
      <c r="H439" s="8">
        <f>IF($A439="","",IF(COUNTIFS('Blind Count Entry'!$C:$C,$A439,'Blind Count Entry'!$B:$B,"&gt;="&amp;DATE(YEAR(TODAY()),MONTH(TODAY()),1),'Blind Count Entry'!$B:$B,"&lt;="&amp;EOMONTH(TODAY(),0))&gt;0,"YES","NO"))</f>
        <v/>
      </c>
    </row>
    <row r="440">
      <c r="A440" s="8">
        <f>IF('Master Inventory'!A438="","",'Master Inventory'!A438)</f>
        <v/>
      </c>
      <c r="B440" s="8">
        <f>IF($A440="","",INDEX('Master Inventory'!$B:$B,MATCH($A440,'Master Inventory'!$A:$A,0)))</f>
        <v/>
      </c>
      <c r="C440" s="8">
        <f>IF($A440="","",IFERROR(INDEX('ABC Analysis'!$F:$F,MATCH($A440,'ABC Analysis'!$A:$A,0)),""))</f>
        <v/>
      </c>
      <c r="D440" s="8">
        <f>IF($C440="","",IF($C440="A",$K$1,IF($C440="B",$M$1,$O$1)))</f>
        <v/>
      </c>
      <c r="E440" s="12" t="n"/>
      <c r="F440" s="13">
        <f>IF(OR($A440="",$E440=""),"",$E440+$D440)</f>
        <v/>
      </c>
      <c r="G440" s="8">
        <f>IF($F440="","",IF($F440&lt;TODAY(),"OVERDUE","ON TRACK"))</f>
        <v/>
      </c>
      <c r="H440" s="8">
        <f>IF($A440="","",IF(COUNTIFS('Blind Count Entry'!$C:$C,$A440,'Blind Count Entry'!$B:$B,"&gt;="&amp;DATE(YEAR(TODAY()),MONTH(TODAY()),1),'Blind Count Entry'!$B:$B,"&lt;="&amp;EOMONTH(TODAY(),0))&gt;0,"YES","NO"))</f>
        <v/>
      </c>
    </row>
    <row r="441">
      <c r="A441" s="8">
        <f>IF('Master Inventory'!A439="","",'Master Inventory'!A439)</f>
        <v/>
      </c>
      <c r="B441" s="8">
        <f>IF($A441="","",INDEX('Master Inventory'!$B:$B,MATCH($A441,'Master Inventory'!$A:$A,0)))</f>
        <v/>
      </c>
      <c r="C441" s="8">
        <f>IF($A441="","",IFERROR(INDEX('ABC Analysis'!$F:$F,MATCH($A441,'ABC Analysis'!$A:$A,0)),""))</f>
        <v/>
      </c>
      <c r="D441" s="8">
        <f>IF($C441="","",IF($C441="A",$K$1,IF($C441="B",$M$1,$O$1)))</f>
        <v/>
      </c>
      <c r="E441" s="12" t="n"/>
      <c r="F441" s="13">
        <f>IF(OR($A441="",$E441=""),"",$E441+$D441)</f>
        <v/>
      </c>
      <c r="G441" s="8">
        <f>IF($F441="","",IF($F441&lt;TODAY(),"OVERDUE","ON TRACK"))</f>
        <v/>
      </c>
      <c r="H441" s="8">
        <f>IF($A441="","",IF(COUNTIFS('Blind Count Entry'!$C:$C,$A441,'Blind Count Entry'!$B:$B,"&gt;="&amp;DATE(YEAR(TODAY()),MONTH(TODAY()),1),'Blind Count Entry'!$B:$B,"&lt;="&amp;EOMONTH(TODAY(),0))&gt;0,"YES","NO"))</f>
        <v/>
      </c>
    </row>
    <row r="442">
      <c r="A442" s="8">
        <f>IF('Master Inventory'!A440="","",'Master Inventory'!A440)</f>
        <v/>
      </c>
      <c r="B442" s="8">
        <f>IF($A442="","",INDEX('Master Inventory'!$B:$B,MATCH($A442,'Master Inventory'!$A:$A,0)))</f>
        <v/>
      </c>
      <c r="C442" s="8">
        <f>IF($A442="","",IFERROR(INDEX('ABC Analysis'!$F:$F,MATCH($A442,'ABC Analysis'!$A:$A,0)),""))</f>
        <v/>
      </c>
      <c r="D442" s="8">
        <f>IF($C442="","",IF($C442="A",$K$1,IF($C442="B",$M$1,$O$1)))</f>
        <v/>
      </c>
      <c r="E442" s="12" t="n"/>
      <c r="F442" s="13">
        <f>IF(OR($A442="",$E442=""),"",$E442+$D442)</f>
        <v/>
      </c>
      <c r="G442" s="8">
        <f>IF($F442="","",IF($F442&lt;TODAY(),"OVERDUE","ON TRACK"))</f>
        <v/>
      </c>
      <c r="H442" s="8">
        <f>IF($A442="","",IF(COUNTIFS('Blind Count Entry'!$C:$C,$A442,'Blind Count Entry'!$B:$B,"&gt;="&amp;DATE(YEAR(TODAY()),MONTH(TODAY()),1),'Blind Count Entry'!$B:$B,"&lt;="&amp;EOMONTH(TODAY(),0))&gt;0,"YES","NO"))</f>
        <v/>
      </c>
    </row>
    <row r="443">
      <c r="A443" s="8">
        <f>IF('Master Inventory'!A441="","",'Master Inventory'!A441)</f>
        <v/>
      </c>
      <c r="B443" s="8">
        <f>IF($A443="","",INDEX('Master Inventory'!$B:$B,MATCH($A443,'Master Inventory'!$A:$A,0)))</f>
        <v/>
      </c>
      <c r="C443" s="8">
        <f>IF($A443="","",IFERROR(INDEX('ABC Analysis'!$F:$F,MATCH($A443,'ABC Analysis'!$A:$A,0)),""))</f>
        <v/>
      </c>
      <c r="D443" s="8">
        <f>IF($C443="","",IF($C443="A",$K$1,IF($C443="B",$M$1,$O$1)))</f>
        <v/>
      </c>
      <c r="E443" s="12" t="n"/>
      <c r="F443" s="13">
        <f>IF(OR($A443="",$E443=""),"",$E443+$D443)</f>
        <v/>
      </c>
      <c r="G443" s="8">
        <f>IF($F443="","",IF($F443&lt;TODAY(),"OVERDUE","ON TRACK"))</f>
        <v/>
      </c>
      <c r="H443" s="8">
        <f>IF($A443="","",IF(COUNTIFS('Blind Count Entry'!$C:$C,$A443,'Blind Count Entry'!$B:$B,"&gt;="&amp;DATE(YEAR(TODAY()),MONTH(TODAY()),1),'Blind Count Entry'!$B:$B,"&lt;="&amp;EOMONTH(TODAY(),0))&gt;0,"YES","NO"))</f>
        <v/>
      </c>
    </row>
    <row r="444">
      <c r="A444" s="8">
        <f>IF('Master Inventory'!A442="","",'Master Inventory'!A442)</f>
        <v/>
      </c>
      <c r="B444" s="8">
        <f>IF($A444="","",INDEX('Master Inventory'!$B:$B,MATCH($A444,'Master Inventory'!$A:$A,0)))</f>
        <v/>
      </c>
      <c r="C444" s="8">
        <f>IF($A444="","",IFERROR(INDEX('ABC Analysis'!$F:$F,MATCH($A444,'ABC Analysis'!$A:$A,0)),""))</f>
        <v/>
      </c>
      <c r="D444" s="8">
        <f>IF($C444="","",IF($C444="A",$K$1,IF($C444="B",$M$1,$O$1)))</f>
        <v/>
      </c>
      <c r="E444" s="12" t="n"/>
      <c r="F444" s="13">
        <f>IF(OR($A444="",$E444=""),"",$E444+$D444)</f>
        <v/>
      </c>
      <c r="G444" s="8">
        <f>IF($F444="","",IF($F444&lt;TODAY(),"OVERDUE","ON TRACK"))</f>
        <v/>
      </c>
      <c r="H444" s="8">
        <f>IF($A444="","",IF(COUNTIFS('Blind Count Entry'!$C:$C,$A444,'Blind Count Entry'!$B:$B,"&gt;="&amp;DATE(YEAR(TODAY()),MONTH(TODAY()),1),'Blind Count Entry'!$B:$B,"&lt;="&amp;EOMONTH(TODAY(),0))&gt;0,"YES","NO"))</f>
        <v/>
      </c>
    </row>
    <row r="445">
      <c r="A445" s="8">
        <f>IF('Master Inventory'!A443="","",'Master Inventory'!A443)</f>
        <v/>
      </c>
      <c r="B445" s="8">
        <f>IF($A445="","",INDEX('Master Inventory'!$B:$B,MATCH($A445,'Master Inventory'!$A:$A,0)))</f>
        <v/>
      </c>
      <c r="C445" s="8">
        <f>IF($A445="","",IFERROR(INDEX('ABC Analysis'!$F:$F,MATCH($A445,'ABC Analysis'!$A:$A,0)),""))</f>
        <v/>
      </c>
      <c r="D445" s="8">
        <f>IF($C445="","",IF($C445="A",$K$1,IF($C445="B",$M$1,$O$1)))</f>
        <v/>
      </c>
      <c r="E445" s="12" t="n"/>
      <c r="F445" s="13">
        <f>IF(OR($A445="",$E445=""),"",$E445+$D445)</f>
        <v/>
      </c>
      <c r="G445" s="8">
        <f>IF($F445="","",IF($F445&lt;TODAY(),"OVERDUE","ON TRACK"))</f>
        <v/>
      </c>
      <c r="H445" s="8">
        <f>IF($A445="","",IF(COUNTIFS('Blind Count Entry'!$C:$C,$A445,'Blind Count Entry'!$B:$B,"&gt;="&amp;DATE(YEAR(TODAY()),MONTH(TODAY()),1),'Blind Count Entry'!$B:$B,"&lt;="&amp;EOMONTH(TODAY(),0))&gt;0,"YES","NO"))</f>
        <v/>
      </c>
    </row>
    <row r="446">
      <c r="A446" s="8">
        <f>IF('Master Inventory'!A444="","",'Master Inventory'!A444)</f>
        <v/>
      </c>
      <c r="B446" s="8">
        <f>IF($A446="","",INDEX('Master Inventory'!$B:$B,MATCH($A446,'Master Inventory'!$A:$A,0)))</f>
        <v/>
      </c>
      <c r="C446" s="8">
        <f>IF($A446="","",IFERROR(INDEX('ABC Analysis'!$F:$F,MATCH($A446,'ABC Analysis'!$A:$A,0)),""))</f>
        <v/>
      </c>
      <c r="D446" s="8">
        <f>IF($C446="","",IF($C446="A",$K$1,IF($C446="B",$M$1,$O$1)))</f>
        <v/>
      </c>
      <c r="E446" s="12" t="n"/>
      <c r="F446" s="13">
        <f>IF(OR($A446="",$E446=""),"",$E446+$D446)</f>
        <v/>
      </c>
      <c r="G446" s="8">
        <f>IF($F446="","",IF($F446&lt;TODAY(),"OVERDUE","ON TRACK"))</f>
        <v/>
      </c>
      <c r="H446" s="8">
        <f>IF($A446="","",IF(COUNTIFS('Blind Count Entry'!$C:$C,$A446,'Blind Count Entry'!$B:$B,"&gt;="&amp;DATE(YEAR(TODAY()),MONTH(TODAY()),1),'Blind Count Entry'!$B:$B,"&lt;="&amp;EOMONTH(TODAY(),0))&gt;0,"YES","NO"))</f>
        <v/>
      </c>
    </row>
    <row r="447">
      <c r="A447" s="8">
        <f>IF('Master Inventory'!A445="","",'Master Inventory'!A445)</f>
        <v/>
      </c>
      <c r="B447" s="8">
        <f>IF($A447="","",INDEX('Master Inventory'!$B:$B,MATCH($A447,'Master Inventory'!$A:$A,0)))</f>
        <v/>
      </c>
      <c r="C447" s="8">
        <f>IF($A447="","",IFERROR(INDEX('ABC Analysis'!$F:$F,MATCH($A447,'ABC Analysis'!$A:$A,0)),""))</f>
        <v/>
      </c>
      <c r="D447" s="8">
        <f>IF($C447="","",IF($C447="A",$K$1,IF($C447="B",$M$1,$O$1)))</f>
        <v/>
      </c>
      <c r="E447" s="12" t="n"/>
      <c r="F447" s="13">
        <f>IF(OR($A447="",$E447=""),"",$E447+$D447)</f>
        <v/>
      </c>
      <c r="G447" s="8">
        <f>IF($F447="","",IF($F447&lt;TODAY(),"OVERDUE","ON TRACK"))</f>
        <v/>
      </c>
      <c r="H447" s="8">
        <f>IF($A447="","",IF(COUNTIFS('Blind Count Entry'!$C:$C,$A447,'Blind Count Entry'!$B:$B,"&gt;="&amp;DATE(YEAR(TODAY()),MONTH(TODAY()),1),'Blind Count Entry'!$B:$B,"&lt;="&amp;EOMONTH(TODAY(),0))&gt;0,"YES","NO"))</f>
        <v/>
      </c>
    </row>
    <row r="448">
      <c r="A448" s="8">
        <f>IF('Master Inventory'!A446="","",'Master Inventory'!A446)</f>
        <v/>
      </c>
      <c r="B448" s="8">
        <f>IF($A448="","",INDEX('Master Inventory'!$B:$B,MATCH($A448,'Master Inventory'!$A:$A,0)))</f>
        <v/>
      </c>
      <c r="C448" s="8">
        <f>IF($A448="","",IFERROR(INDEX('ABC Analysis'!$F:$F,MATCH($A448,'ABC Analysis'!$A:$A,0)),""))</f>
        <v/>
      </c>
      <c r="D448" s="8">
        <f>IF($C448="","",IF($C448="A",$K$1,IF($C448="B",$M$1,$O$1)))</f>
        <v/>
      </c>
      <c r="E448" s="12" t="n"/>
      <c r="F448" s="13">
        <f>IF(OR($A448="",$E448=""),"",$E448+$D448)</f>
        <v/>
      </c>
      <c r="G448" s="8">
        <f>IF($F448="","",IF($F448&lt;TODAY(),"OVERDUE","ON TRACK"))</f>
        <v/>
      </c>
      <c r="H448" s="8">
        <f>IF($A448="","",IF(COUNTIFS('Blind Count Entry'!$C:$C,$A448,'Blind Count Entry'!$B:$B,"&gt;="&amp;DATE(YEAR(TODAY()),MONTH(TODAY()),1),'Blind Count Entry'!$B:$B,"&lt;="&amp;EOMONTH(TODAY(),0))&gt;0,"YES","NO"))</f>
        <v/>
      </c>
    </row>
    <row r="449">
      <c r="A449" s="8">
        <f>IF('Master Inventory'!A447="","",'Master Inventory'!A447)</f>
        <v/>
      </c>
      <c r="B449" s="8">
        <f>IF($A449="","",INDEX('Master Inventory'!$B:$B,MATCH($A449,'Master Inventory'!$A:$A,0)))</f>
        <v/>
      </c>
      <c r="C449" s="8">
        <f>IF($A449="","",IFERROR(INDEX('ABC Analysis'!$F:$F,MATCH($A449,'ABC Analysis'!$A:$A,0)),""))</f>
        <v/>
      </c>
      <c r="D449" s="8">
        <f>IF($C449="","",IF($C449="A",$K$1,IF($C449="B",$M$1,$O$1)))</f>
        <v/>
      </c>
      <c r="E449" s="12" t="n"/>
      <c r="F449" s="13">
        <f>IF(OR($A449="",$E449=""),"",$E449+$D449)</f>
        <v/>
      </c>
      <c r="G449" s="8">
        <f>IF($F449="","",IF($F449&lt;TODAY(),"OVERDUE","ON TRACK"))</f>
        <v/>
      </c>
      <c r="H449" s="8">
        <f>IF($A449="","",IF(COUNTIFS('Blind Count Entry'!$C:$C,$A449,'Blind Count Entry'!$B:$B,"&gt;="&amp;DATE(YEAR(TODAY()),MONTH(TODAY()),1),'Blind Count Entry'!$B:$B,"&lt;="&amp;EOMONTH(TODAY(),0))&gt;0,"YES","NO"))</f>
        <v/>
      </c>
    </row>
    <row r="450">
      <c r="A450" s="8">
        <f>IF('Master Inventory'!A448="","",'Master Inventory'!A448)</f>
        <v/>
      </c>
      <c r="B450" s="8">
        <f>IF($A450="","",INDEX('Master Inventory'!$B:$B,MATCH($A450,'Master Inventory'!$A:$A,0)))</f>
        <v/>
      </c>
      <c r="C450" s="8">
        <f>IF($A450="","",IFERROR(INDEX('ABC Analysis'!$F:$F,MATCH($A450,'ABC Analysis'!$A:$A,0)),""))</f>
        <v/>
      </c>
      <c r="D450" s="8">
        <f>IF($C450="","",IF($C450="A",$K$1,IF($C450="B",$M$1,$O$1)))</f>
        <v/>
      </c>
      <c r="E450" s="12" t="n"/>
      <c r="F450" s="13">
        <f>IF(OR($A450="",$E450=""),"",$E450+$D450)</f>
        <v/>
      </c>
      <c r="G450" s="8">
        <f>IF($F450="","",IF($F450&lt;TODAY(),"OVERDUE","ON TRACK"))</f>
        <v/>
      </c>
      <c r="H450" s="8">
        <f>IF($A450="","",IF(COUNTIFS('Blind Count Entry'!$C:$C,$A450,'Blind Count Entry'!$B:$B,"&gt;="&amp;DATE(YEAR(TODAY()),MONTH(TODAY()),1),'Blind Count Entry'!$B:$B,"&lt;="&amp;EOMONTH(TODAY(),0))&gt;0,"YES","NO"))</f>
        <v/>
      </c>
    </row>
    <row r="451">
      <c r="A451" s="8">
        <f>IF('Master Inventory'!A449="","",'Master Inventory'!A449)</f>
        <v/>
      </c>
      <c r="B451" s="8">
        <f>IF($A451="","",INDEX('Master Inventory'!$B:$B,MATCH($A451,'Master Inventory'!$A:$A,0)))</f>
        <v/>
      </c>
      <c r="C451" s="8">
        <f>IF($A451="","",IFERROR(INDEX('ABC Analysis'!$F:$F,MATCH($A451,'ABC Analysis'!$A:$A,0)),""))</f>
        <v/>
      </c>
      <c r="D451" s="8">
        <f>IF($C451="","",IF($C451="A",$K$1,IF($C451="B",$M$1,$O$1)))</f>
        <v/>
      </c>
      <c r="E451" s="12" t="n"/>
      <c r="F451" s="13">
        <f>IF(OR($A451="",$E451=""),"",$E451+$D451)</f>
        <v/>
      </c>
      <c r="G451" s="8">
        <f>IF($F451="","",IF($F451&lt;TODAY(),"OVERDUE","ON TRACK"))</f>
        <v/>
      </c>
      <c r="H451" s="8">
        <f>IF($A451="","",IF(COUNTIFS('Blind Count Entry'!$C:$C,$A451,'Blind Count Entry'!$B:$B,"&gt;="&amp;DATE(YEAR(TODAY()),MONTH(TODAY()),1),'Blind Count Entry'!$B:$B,"&lt;="&amp;EOMONTH(TODAY(),0))&gt;0,"YES","NO"))</f>
        <v/>
      </c>
    </row>
    <row r="452">
      <c r="A452" s="8">
        <f>IF('Master Inventory'!A450="","",'Master Inventory'!A450)</f>
        <v/>
      </c>
      <c r="B452" s="8">
        <f>IF($A452="","",INDEX('Master Inventory'!$B:$B,MATCH($A452,'Master Inventory'!$A:$A,0)))</f>
        <v/>
      </c>
      <c r="C452" s="8">
        <f>IF($A452="","",IFERROR(INDEX('ABC Analysis'!$F:$F,MATCH($A452,'ABC Analysis'!$A:$A,0)),""))</f>
        <v/>
      </c>
      <c r="D452" s="8">
        <f>IF($C452="","",IF($C452="A",$K$1,IF($C452="B",$M$1,$O$1)))</f>
        <v/>
      </c>
      <c r="E452" s="12" t="n"/>
      <c r="F452" s="13">
        <f>IF(OR($A452="",$E452=""),"",$E452+$D452)</f>
        <v/>
      </c>
      <c r="G452" s="8">
        <f>IF($F452="","",IF($F452&lt;TODAY(),"OVERDUE","ON TRACK"))</f>
        <v/>
      </c>
      <c r="H452" s="8">
        <f>IF($A452="","",IF(COUNTIFS('Blind Count Entry'!$C:$C,$A452,'Blind Count Entry'!$B:$B,"&gt;="&amp;DATE(YEAR(TODAY()),MONTH(TODAY()),1),'Blind Count Entry'!$B:$B,"&lt;="&amp;EOMONTH(TODAY(),0))&gt;0,"YES","NO"))</f>
        <v/>
      </c>
    </row>
    <row r="453">
      <c r="A453" s="8">
        <f>IF('Master Inventory'!A451="","",'Master Inventory'!A451)</f>
        <v/>
      </c>
      <c r="B453" s="8">
        <f>IF($A453="","",INDEX('Master Inventory'!$B:$B,MATCH($A453,'Master Inventory'!$A:$A,0)))</f>
        <v/>
      </c>
      <c r="C453" s="8">
        <f>IF($A453="","",IFERROR(INDEX('ABC Analysis'!$F:$F,MATCH($A453,'ABC Analysis'!$A:$A,0)),""))</f>
        <v/>
      </c>
      <c r="D453" s="8">
        <f>IF($C453="","",IF($C453="A",$K$1,IF($C453="B",$M$1,$O$1)))</f>
        <v/>
      </c>
      <c r="E453" s="12" t="n"/>
      <c r="F453" s="13">
        <f>IF(OR($A453="",$E453=""),"",$E453+$D453)</f>
        <v/>
      </c>
      <c r="G453" s="8">
        <f>IF($F453="","",IF($F453&lt;TODAY(),"OVERDUE","ON TRACK"))</f>
        <v/>
      </c>
      <c r="H453" s="8">
        <f>IF($A453="","",IF(COUNTIFS('Blind Count Entry'!$C:$C,$A453,'Blind Count Entry'!$B:$B,"&gt;="&amp;DATE(YEAR(TODAY()),MONTH(TODAY()),1),'Blind Count Entry'!$B:$B,"&lt;="&amp;EOMONTH(TODAY(),0))&gt;0,"YES","NO"))</f>
        <v/>
      </c>
    </row>
    <row r="454">
      <c r="A454" s="8">
        <f>IF('Master Inventory'!A452="","",'Master Inventory'!A452)</f>
        <v/>
      </c>
      <c r="B454" s="8">
        <f>IF($A454="","",INDEX('Master Inventory'!$B:$B,MATCH($A454,'Master Inventory'!$A:$A,0)))</f>
        <v/>
      </c>
      <c r="C454" s="8">
        <f>IF($A454="","",IFERROR(INDEX('ABC Analysis'!$F:$F,MATCH($A454,'ABC Analysis'!$A:$A,0)),""))</f>
        <v/>
      </c>
      <c r="D454" s="8">
        <f>IF($C454="","",IF($C454="A",$K$1,IF($C454="B",$M$1,$O$1)))</f>
        <v/>
      </c>
      <c r="E454" s="12" t="n"/>
      <c r="F454" s="13">
        <f>IF(OR($A454="",$E454=""),"",$E454+$D454)</f>
        <v/>
      </c>
      <c r="G454" s="8">
        <f>IF($F454="","",IF($F454&lt;TODAY(),"OVERDUE","ON TRACK"))</f>
        <v/>
      </c>
      <c r="H454" s="8">
        <f>IF($A454="","",IF(COUNTIFS('Blind Count Entry'!$C:$C,$A454,'Blind Count Entry'!$B:$B,"&gt;="&amp;DATE(YEAR(TODAY()),MONTH(TODAY()),1),'Blind Count Entry'!$B:$B,"&lt;="&amp;EOMONTH(TODAY(),0))&gt;0,"YES","NO"))</f>
        <v/>
      </c>
    </row>
    <row r="455">
      <c r="A455" s="8">
        <f>IF('Master Inventory'!A453="","",'Master Inventory'!A453)</f>
        <v/>
      </c>
      <c r="B455" s="8">
        <f>IF($A455="","",INDEX('Master Inventory'!$B:$B,MATCH($A455,'Master Inventory'!$A:$A,0)))</f>
        <v/>
      </c>
      <c r="C455" s="8">
        <f>IF($A455="","",IFERROR(INDEX('ABC Analysis'!$F:$F,MATCH($A455,'ABC Analysis'!$A:$A,0)),""))</f>
        <v/>
      </c>
      <c r="D455" s="8">
        <f>IF($C455="","",IF($C455="A",$K$1,IF($C455="B",$M$1,$O$1)))</f>
        <v/>
      </c>
      <c r="E455" s="12" t="n"/>
      <c r="F455" s="13">
        <f>IF(OR($A455="",$E455=""),"",$E455+$D455)</f>
        <v/>
      </c>
      <c r="G455" s="8">
        <f>IF($F455="","",IF($F455&lt;TODAY(),"OVERDUE","ON TRACK"))</f>
        <v/>
      </c>
      <c r="H455" s="8">
        <f>IF($A455="","",IF(COUNTIFS('Blind Count Entry'!$C:$C,$A455,'Blind Count Entry'!$B:$B,"&gt;="&amp;DATE(YEAR(TODAY()),MONTH(TODAY()),1),'Blind Count Entry'!$B:$B,"&lt;="&amp;EOMONTH(TODAY(),0))&gt;0,"YES","NO"))</f>
        <v/>
      </c>
    </row>
    <row r="456">
      <c r="A456" s="8">
        <f>IF('Master Inventory'!A454="","",'Master Inventory'!A454)</f>
        <v/>
      </c>
      <c r="B456" s="8">
        <f>IF($A456="","",INDEX('Master Inventory'!$B:$B,MATCH($A456,'Master Inventory'!$A:$A,0)))</f>
        <v/>
      </c>
      <c r="C456" s="8">
        <f>IF($A456="","",IFERROR(INDEX('ABC Analysis'!$F:$F,MATCH($A456,'ABC Analysis'!$A:$A,0)),""))</f>
        <v/>
      </c>
      <c r="D456" s="8">
        <f>IF($C456="","",IF($C456="A",$K$1,IF($C456="B",$M$1,$O$1)))</f>
        <v/>
      </c>
      <c r="E456" s="12" t="n"/>
      <c r="F456" s="13">
        <f>IF(OR($A456="",$E456=""),"",$E456+$D456)</f>
        <v/>
      </c>
      <c r="G456" s="8">
        <f>IF($F456="","",IF($F456&lt;TODAY(),"OVERDUE","ON TRACK"))</f>
        <v/>
      </c>
      <c r="H456" s="8">
        <f>IF($A456="","",IF(COUNTIFS('Blind Count Entry'!$C:$C,$A456,'Blind Count Entry'!$B:$B,"&gt;="&amp;DATE(YEAR(TODAY()),MONTH(TODAY()),1),'Blind Count Entry'!$B:$B,"&lt;="&amp;EOMONTH(TODAY(),0))&gt;0,"YES","NO"))</f>
        <v/>
      </c>
    </row>
    <row r="457">
      <c r="A457" s="8">
        <f>IF('Master Inventory'!A455="","",'Master Inventory'!A455)</f>
        <v/>
      </c>
      <c r="B457" s="8">
        <f>IF($A457="","",INDEX('Master Inventory'!$B:$B,MATCH($A457,'Master Inventory'!$A:$A,0)))</f>
        <v/>
      </c>
      <c r="C457" s="8">
        <f>IF($A457="","",IFERROR(INDEX('ABC Analysis'!$F:$F,MATCH($A457,'ABC Analysis'!$A:$A,0)),""))</f>
        <v/>
      </c>
      <c r="D457" s="8">
        <f>IF($C457="","",IF($C457="A",$K$1,IF($C457="B",$M$1,$O$1)))</f>
        <v/>
      </c>
      <c r="E457" s="12" t="n"/>
      <c r="F457" s="13">
        <f>IF(OR($A457="",$E457=""),"",$E457+$D457)</f>
        <v/>
      </c>
      <c r="G457" s="8">
        <f>IF($F457="","",IF($F457&lt;TODAY(),"OVERDUE","ON TRACK"))</f>
        <v/>
      </c>
      <c r="H457" s="8">
        <f>IF($A457="","",IF(COUNTIFS('Blind Count Entry'!$C:$C,$A457,'Blind Count Entry'!$B:$B,"&gt;="&amp;DATE(YEAR(TODAY()),MONTH(TODAY()),1),'Blind Count Entry'!$B:$B,"&lt;="&amp;EOMONTH(TODAY(),0))&gt;0,"YES","NO"))</f>
        <v/>
      </c>
    </row>
    <row r="458">
      <c r="A458" s="8">
        <f>IF('Master Inventory'!A456="","",'Master Inventory'!A456)</f>
        <v/>
      </c>
      <c r="B458" s="8">
        <f>IF($A458="","",INDEX('Master Inventory'!$B:$B,MATCH($A458,'Master Inventory'!$A:$A,0)))</f>
        <v/>
      </c>
      <c r="C458" s="8">
        <f>IF($A458="","",IFERROR(INDEX('ABC Analysis'!$F:$F,MATCH($A458,'ABC Analysis'!$A:$A,0)),""))</f>
        <v/>
      </c>
      <c r="D458" s="8">
        <f>IF($C458="","",IF($C458="A",$K$1,IF($C458="B",$M$1,$O$1)))</f>
        <v/>
      </c>
      <c r="E458" s="12" t="n"/>
      <c r="F458" s="13">
        <f>IF(OR($A458="",$E458=""),"",$E458+$D458)</f>
        <v/>
      </c>
      <c r="G458" s="8">
        <f>IF($F458="","",IF($F458&lt;TODAY(),"OVERDUE","ON TRACK"))</f>
        <v/>
      </c>
      <c r="H458" s="8">
        <f>IF($A458="","",IF(COUNTIFS('Blind Count Entry'!$C:$C,$A458,'Blind Count Entry'!$B:$B,"&gt;="&amp;DATE(YEAR(TODAY()),MONTH(TODAY()),1),'Blind Count Entry'!$B:$B,"&lt;="&amp;EOMONTH(TODAY(),0))&gt;0,"YES","NO"))</f>
        <v/>
      </c>
    </row>
    <row r="459">
      <c r="A459" s="8">
        <f>IF('Master Inventory'!A457="","",'Master Inventory'!A457)</f>
        <v/>
      </c>
      <c r="B459" s="8">
        <f>IF($A459="","",INDEX('Master Inventory'!$B:$B,MATCH($A459,'Master Inventory'!$A:$A,0)))</f>
        <v/>
      </c>
      <c r="C459" s="8">
        <f>IF($A459="","",IFERROR(INDEX('ABC Analysis'!$F:$F,MATCH($A459,'ABC Analysis'!$A:$A,0)),""))</f>
        <v/>
      </c>
      <c r="D459" s="8">
        <f>IF($C459="","",IF($C459="A",$K$1,IF($C459="B",$M$1,$O$1)))</f>
        <v/>
      </c>
      <c r="E459" s="12" t="n"/>
      <c r="F459" s="13">
        <f>IF(OR($A459="",$E459=""),"",$E459+$D459)</f>
        <v/>
      </c>
      <c r="G459" s="8">
        <f>IF($F459="","",IF($F459&lt;TODAY(),"OVERDUE","ON TRACK"))</f>
        <v/>
      </c>
      <c r="H459" s="8">
        <f>IF($A459="","",IF(COUNTIFS('Blind Count Entry'!$C:$C,$A459,'Blind Count Entry'!$B:$B,"&gt;="&amp;DATE(YEAR(TODAY()),MONTH(TODAY()),1),'Blind Count Entry'!$B:$B,"&lt;="&amp;EOMONTH(TODAY(),0))&gt;0,"YES","NO"))</f>
        <v/>
      </c>
    </row>
    <row r="460">
      <c r="A460" s="8">
        <f>IF('Master Inventory'!A458="","",'Master Inventory'!A458)</f>
        <v/>
      </c>
      <c r="B460" s="8">
        <f>IF($A460="","",INDEX('Master Inventory'!$B:$B,MATCH($A460,'Master Inventory'!$A:$A,0)))</f>
        <v/>
      </c>
      <c r="C460" s="8">
        <f>IF($A460="","",IFERROR(INDEX('ABC Analysis'!$F:$F,MATCH($A460,'ABC Analysis'!$A:$A,0)),""))</f>
        <v/>
      </c>
      <c r="D460" s="8">
        <f>IF($C460="","",IF($C460="A",$K$1,IF($C460="B",$M$1,$O$1)))</f>
        <v/>
      </c>
      <c r="E460" s="12" t="n"/>
      <c r="F460" s="13">
        <f>IF(OR($A460="",$E460=""),"",$E460+$D460)</f>
        <v/>
      </c>
      <c r="G460" s="8">
        <f>IF($F460="","",IF($F460&lt;TODAY(),"OVERDUE","ON TRACK"))</f>
        <v/>
      </c>
      <c r="H460" s="8">
        <f>IF($A460="","",IF(COUNTIFS('Blind Count Entry'!$C:$C,$A460,'Blind Count Entry'!$B:$B,"&gt;="&amp;DATE(YEAR(TODAY()),MONTH(TODAY()),1),'Blind Count Entry'!$B:$B,"&lt;="&amp;EOMONTH(TODAY(),0))&gt;0,"YES","NO"))</f>
        <v/>
      </c>
    </row>
    <row r="461">
      <c r="A461" s="8">
        <f>IF('Master Inventory'!A459="","",'Master Inventory'!A459)</f>
        <v/>
      </c>
      <c r="B461" s="8">
        <f>IF($A461="","",INDEX('Master Inventory'!$B:$B,MATCH($A461,'Master Inventory'!$A:$A,0)))</f>
        <v/>
      </c>
      <c r="C461" s="8">
        <f>IF($A461="","",IFERROR(INDEX('ABC Analysis'!$F:$F,MATCH($A461,'ABC Analysis'!$A:$A,0)),""))</f>
        <v/>
      </c>
      <c r="D461" s="8">
        <f>IF($C461="","",IF($C461="A",$K$1,IF($C461="B",$M$1,$O$1)))</f>
        <v/>
      </c>
      <c r="E461" s="12" t="n"/>
      <c r="F461" s="13">
        <f>IF(OR($A461="",$E461=""),"",$E461+$D461)</f>
        <v/>
      </c>
      <c r="G461" s="8">
        <f>IF($F461="","",IF($F461&lt;TODAY(),"OVERDUE","ON TRACK"))</f>
        <v/>
      </c>
      <c r="H461" s="8">
        <f>IF($A461="","",IF(COUNTIFS('Blind Count Entry'!$C:$C,$A461,'Blind Count Entry'!$B:$B,"&gt;="&amp;DATE(YEAR(TODAY()),MONTH(TODAY()),1),'Blind Count Entry'!$B:$B,"&lt;="&amp;EOMONTH(TODAY(),0))&gt;0,"YES","NO"))</f>
        <v/>
      </c>
    </row>
    <row r="462">
      <c r="A462" s="8">
        <f>IF('Master Inventory'!A460="","",'Master Inventory'!A460)</f>
        <v/>
      </c>
      <c r="B462" s="8">
        <f>IF($A462="","",INDEX('Master Inventory'!$B:$B,MATCH($A462,'Master Inventory'!$A:$A,0)))</f>
        <v/>
      </c>
      <c r="C462" s="8">
        <f>IF($A462="","",IFERROR(INDEX('ABC Analysis'!$F:$F,MATCH($A462,'ABC Analysis'!$A:$A,0)),""))</f>
        <v/>
      </c>
      <c r="D462" s="8">
        <f>IF($C462="","",IF($C462="A",$K$1,IF($C462="B",$M$1,$O$1)))</f>
        <v/>
      </c>
      <c r="E462" s="12" t="n"/>
      <c r="F462" s="13">
        <f>IF(OR($A462="",$E462=""),"",$E462+$D462)</f>
        <v/>
      </c>
      <c r="G462" s="8">
        <f>IF($F462="","",IF($F462&lt;TODAY(),"OVERDUE","ON TRACK"))</f>
        <v/>
      </c>
      <c r="H462" s="8">
        <f>IF($A462="","",IF(COUNTIFS('Blind Count Entry'!$C:$C,$A462,'Blind Count Entry'!$B:$B,"&gt;="&amp;DATE(YEAR(TODAY()),MONTH(TODAY()),1),'Blind Count Entry'!$B:$B,"&lt;="&amp;EOMONTH(TODAY(),0))&gt;0,"YES","NO"))</f>
        <v/>
      </c>
    </row>
    <row r="463">
      <c r="A463" s="8">
        <f>IF('Master Inventory'!A461="","",'Master Inventory'!A461)</f>
        <v/>
      </c>
      <c r="B463" s="8">
        <f>IF($A463="","",INDEX('Master Inventory'!$B:$B,MATCH($A463,'Master Inventory'!$A:$A,0)))</f>
        <v/>
      </c>
      <c r="C463" s="8">
        <f>IF($A463="","",IFERROR(INDEX('ABC Analysis'!$F:$F,MATCH($A463,'ABC Analysis'!$A:$A,0)),""))</f>
        <v/>
      </c>
      <c r="D463" s="8">
        <f>IF($C463="","",IF($C463="A",$K$1,IF($C463="B",$M$1,$O$1)))</f>
        <v/>
      </c>
      <c r="E463" s="12" t="n"/>
      <c r="F463" s="13">
        <f>IF(OR($A463="",$E463=""),"",$E463+$D463)</f>
        <v/>
      </c>
      <c r="G463" s="8">
        <f>IF($F463="","",IF($F463&lt;TODAY(),"OVERDUE","ON TRACK"))</f>
        <v/>
      </c>
      <c r="H463" s="8">
        <f>IF($A463="","",IF(COUNTIFS('Blind Count Entry'!$C:$C,$A463,'Blind Count Entry'!$B:$B,"&gt;="&amp;DATE(YEAR(TODAY()),MONTH(TODAY()),1),'Blind Count Entry'!$B:$B,"&lt;="&amp;EOMONTH(TODAY(),0))&gt;0,"YES","NO"))</f>
        <v/>
      </c>
    </row>
    <row r="464">
      <c r="A464" s="8">
        <f>IF('Master Inventory'!A462="","",'Master Inventory'!A462)</f>
        <v/>
      </c>
      <c r="B464" s="8">
        <f>IF($A464="","",INDEX('Master Inventory'!$B:$B,MATCH($A464,'Master Inventory'!$A:$A,0)))</f>
        <v/>
      </c>
      <c r="C464" s="8">
        <f>IF($A464="","",IFERROR(INDEX('ABC Analysis'!$F:$F,MATCH($A464,'ABC Analysis'!$A:$A,0)),""))</f>
        <v/>
      </c>
      <c r="D464" s="8">
        <f>IF($C464="","",IF($C464="A",$K$1,IF($C464="B",$M$1,$O$1)))</f>
        <v/>
      </c>
      <c r="E464" s="12" t="n"/>
      <c r="F464" s="13">
        <f>IF(OR($A464="",$E464=""),"",$E464+$D464)</f>
        <v/>
      </c>
      <c r="G464" s="8">
        <f>IF($F464="","",IF($F464&lt;TODAY(),"OVERDUE","ON TRACK"))</f>
        <v/>
      </c>
      <c r="H464" s="8">
        <f>IF($A464="","",IF(COUNTIFS('Blind Count Entry'!$C:$C,$A464,'Blind Count Entry'!$B:$B,"&gt;="&amp;DATE(YEAR(TODAY()),MONTH(TODAY()),1),'Blind Count Entry'!$B:$B,"&lt;="&amp;EOMONTH(TODAY(),0))&gt;0,"YES","NO"))</f>
        <v/>
      </c>
    </row>
    <row r="465">
      <c r="A465" s="8">
        <f>IF('Master Inventory'!A463="","",'Master Inventory'!A463)</f>
        <v/>
      </c>
      <c r="B465" s="8">
        <f>IF($A465="","",INDEX('Master Inventory'!$B:$B,MATCH($A465,'Master Inventory'!$A:$A,0)))</f>
        <v/>
      </c>
      <c r="C465" s="8">
        <f>IF($A465="","",IFERROR(INDEX('ABC Analysis'!$F:$F,MATCH($A465,'ABC Analysis'!$A:$A,0)),""))</f>
        <v/>
      </c>
      <c r="D465" s="8">
        <f>IF($C465="","",IF($C465="A",$K$1,IF($C465="B",$M$1,$O$1)))</f>
        <v/>
      </c>
      <c r="E465" s="12" t="n"/>
      <c r="F465" s="13">
        <f>IF(OR($A465="",$E465=""),"",$E465+$D465)</f>
        <v/>
      </c>
      <c r="G465" s="8">
        <f>IF($F465="","",IF($F465&lt;TODAY(),"OVERDUE","ON TRACK"))</f>
        <v/>
      </c>
      <c r="H465" s="8">
        <f>IF($A465="","",IF(COUNTIFS('Blind Count Entry'!$C:$C,$A465,'Blind Count Entry'!$B:$B,"&gt;="&amp;DATE(YEAR(TODAY()),MONTH(TODAY()),1),'Blind Count Entry'!$B:$B,"&lt;="&amp;EOMONTH(TODAY(),0))&gt;0,"YES","NO"))</f>
        <v/>
      </c>
    </row>
    <row r="466">
      <c r="A466" s="8">
        <f>IF('Master Inventory'!A464="","",'Master Inventory'!A464)</f>
        <v/>
      </c>
      <c r="B466" s="8">
        <f>IF($A466="","",INDEX('Master Inventory'!$B:$B,MATCH($A466,'Master Inventory'!$A:$A,0)))</f>
        <v/>
      </c>
      <c r="C466" s="8">
        <f>IF($A466="","",IFERROR(INDEX('ABC Analysis'!$F:$F,MATCH($A466,'ABC Analysis'!$A:$A,0)),""))</f>
        <v/>
      </c>
      <c r="D466" s="8">
        <f>IF($C466="","",IF($C466="A",$K$1,IF($C466="B",$M$1,$O$1)))</f>
        <v/>
      </c>
      <c r="E466" s="12" t="n"/>
      <c r="F466" s="13">
        <f>IF(OR($A466="",$E466=""),"",$E466+$D466)</f>
        <v/>
      </c>
      <c r="G466" s="8">
        <f>IF($F466="","",IF($F466&lt;TODAY(),"OVERDUE","ON TRACK"))</f>
        <v/>
      </c>
      <c r="H466" s="8">
        <f>IF($A466="","",IF(COUNTIFS('Blind Count Entry'!$C:$C,$A466,'Blind Count Entry'!$B:$B,"&gt;="&amp;DATE(YEAR(TODAY()),MONTH(TODAY()),1),'Blind Count Entry'!$B:$B,"&lt;="&amp;EOMONTH(TODAY(),0))&gt;0,"YES","NO"))</f>
        <v/>
      </c>
    </row>
    <row r="467">
      <c r="A467" s="8">
        <f>IF('Master Inventory'!A465="","",'Master Inventory'!A465)</f>
        <v/>
      </c>
      <c r="B467" s="8">
        <f>IF($A467="","",INDEX('Master Inventory'!$B:$B,MATCH($A467,'Master Inventory'!$A:$A,0)))</f>
        <v/>
      </c>
      <c r="C467" s="8">
        <f>IF($A467="","",IFERROR(INDEX('ABC Analysis'!$F:$F,MATCH($A467,'ABC Analysis'!$A:$A,0)),""))</f>
        <v/>
      </c>
      <c r="D467" s="8">
        <f>IF($C467="","",IF($C467="A",$K$1,IF($C467="B",$M$1,$O$1)))</f>
        <v/>
      </c>
      <c r="E467" s="12" t="n"/>
      <c r="F467" s="13">
        <f>IF(OR($A467="",$E467=""),"",$E467+$D467)</f>
        <v/>
      </c>
      <c r="G467" s="8">
        <f>IF($F467="","",IF($F467&lt;TODAY(),"OVERDUE","ON TRACK"))</f>
        <v/>
      </c>
      <c r="H467" s="8">
        <f>IF($A467="","",IF(COUNTIFS('Blind Count Entry'!$C:$C,$A467,'Blind Count Entry'!$B:$B,"&gt;="&amp;DATE(YEAR(TODAY()),MONTH(TODAY()),1),'Blind Count Entry'!$B:$B,"&lt;="&amp;EOMONTH(TODAY(),0))&gt;0,"YES","NO"))</f>
        <v/>
      </c>
    </row>
    <row r="468">
      <c r="A468" s="8">
        <f>IF('Master Inventory'!A466="","",'Master Inventory'!A466)</f>
        <v/>
      </c>
      <c r="B468" s="8">
        <f>IF($A468="","",INDEX('Master Inventory'!$B:$B,MATCH($A468,'Master Inventory'!$A:$A,0)))</f>
        <v/>
      </c>
      <c r="C468" s="8">
        <f>IF($A468="","",IFERROR(INDEX('ABC Analysis'!$F:$F,MATCH($A468,'ABC Analysis'!$A:$A,0)),""))</f>
        <v/>
      </c>
      <c r="D468" s="8">
        <f>IF($C468="","",IF($C468="A",$K$1,IF($C468="B",$M$1,$O$1)))</f>
        <v/>
      </c>
      <c r="E468" s="12" t="n"/>
      <c r="F468" s="13">
        <f>IF(OR($A468="",$E468=""),"",$E468+$D468)</f>
        <v/>
      </c>
      <c r="G468" s="8">
        <f>IF($F468="","",IF($F468&lt;TODAY(),"OVERDUE","ON TRACK"))</f>
        <v/>
      </c>
      <c r="H468" s="8">
        <f>IF($A468="","",IF(COUNTIFS('Blind Count Entry'!$C:$C,$A468,'Blind Count Entry'!$B:$B,"&gt;="&amp;DATE(YEAR(TODAY()),MONTH(TODAY()),1),'Blind Count Entry'!$B:$B,"&lt;="&amp;EOMONTH(TODAY(),0))&gt;0,"YES","NO"))</f>
        <v/>
      </c>
    </row>
    <row r="469">
      <c r="A469" s="8">
        <f>IF('Master Inventory'!A467="","",'Master Inventory'!A467)</f>
        <v/>
      </c>
      <c r="B469" s="8">
        <f>IF($A469="","",INDEX('Master Inventory'!$B:$B,MATCH($A469,'Master Inventory'!$A:$A,0)))</f>
        <v/>
      </c>
      <c r="C469" s="8">
        <f>IF($A469="","",IFERROR(INDEX('ABC Analysis'!$F:$F,MATCH($A469,'ABC Analysis'!$A:$A,0)),""))</f>
        <v/>
      </c>
      <c r="D469" s="8">
        <f>IF($C469="","",IF($C469="A",$K$1,IF($C469="B",$M$1,$O$1)))</f>
        <v/>
      </c>
      <c r="E469" s="12" t="n"/>
      <c r="F469" s="13">
        <f>IF(OR($A469="",$E469=""),"",$E469+$D469)</f>
        <v/>
      </c>
      <c r="G469" s="8">
        <f>IF($F469="","",IF($F469&lt;TODAY(),"OVERDUE","ON TRACK"))</f>
        <v/>
      </c>
      <c r="H469" s="8">
        <f>IF($A469="","",IF(COUNTIFS('Blind Count Entry'!$C:$C,$A469,'Blind Count Entry'!$B:$B,"&gt;="&amp;DATE(YEAR(TODAY()),MONTH(TODAY()),1),'Blind Count Entry'!$B:$B,"&lt;="&amp;EOMONTH(TODAY(),0))&gt;0,"YES","NO"))</f>
        <v/>
      </c>
    </row>
    <row r="470">
      <c r="A470" s="8">
        <f>IF('Master Inventory'!A468="","",'Master Inventory'!A468)</f>
        <v/>
      </c>
      <c r="B470" s="8">
        <f>IF($A470="","",INDEX('Master Inventory'!$B:$B,MATCH($A470,'Master Inventory'!$A:$A,0)))</f>
        <v/>
      </c>
      <c r="C470" s="8">
        <f>IF($A470="","",IFERROR(INDEX('ABC Analysis'!$F:$F,MATCH($A470,'ABC Analysis'!$A:$A,0)),""))</f>
        <v/>
      </c>
      <c r="D470" s="8">
        <f>IF($C470="","",IF($C470="A",$K$1,IF($C470="B",$M$1,$O$1)))</f>
        <v/>
      </c>
      <c r="E470" s="12" t="n"/>
      <c r="F470" s="13">
        <f>IF(OR($A470="",$E470=""),"",$E470+$D470)</f>
        <v/>
      </c>
      <c r="G470" s="8">
        <f>IF($F470="","",IF($F470&lt;TODAY(),"OVERDUE","ON TRACK"))</f>
        <v/>
      </c>
      <c r="H470" s="8">
        <f>IF($A470="","",IF(COUNTIFS('Blind Count Entry'!$C:$C,$A470,'Blind Count Entry'!$B:$B,"&gt;="&amp;DATE(YEAR(TODAY()),MONTH(TODAY()),1),'Blind Count Entry'!$B:$B,"&lt;="&amp;EOMONTH(TODAY(),0))&gt;0,"YES","NO"))</f>
        <v/>
      </c>
    </row>
    <row r="471">
      <c r="A471" s="8">
        <f>IF('Master Inventory'!A469="","",'Master Inventory'!A469)</f>
        <v/>
      </c>
      <c r="B471" s="8">
        <f>IF($A471="","",INDEX('Master Inventory'!$B:$B,MATCH($A471,'Master Inventory'!$A:$A,0)))</f>
        <v/>
      </c>
      <c r="C471" s="8">
        <f>IF($A471="","",IFERROR(INDEX('ABC Analysis'!$F:$F,MATCH($A471,'ABC Analysis'!$A:$A,0)),""))</f>
        <v/>
      </c>
      <c r="D471" s="8">
        <f>IF($C471="","",IF($C471="A",$K$1,IF($C471="B",$M$1,$O$1)))</f>
        <v/>
      </c>
      <c r="E471" s="12" t="n"/>
      <c r="F471" s="13">
        <f>IF(OR($A471="",$E471=""),"",$E471+$D471)</f>
        <v/>
      </c>
      <c r="G471" s="8">
        <f>IF($F471="","",IF($F471&lt;TODAY(),"OVERDUE","ON TRACK"))</f>
        <v/>
      </c>
      <c r="H471" s="8">
        <f>IF($A471="","",IF(COUNTIFS('Blind Count Entry'!$C:$C,$A471,'Blind Count Entry'!$B:$B,"&gt;="&amp;DATE(YEAR(TODAY()),MONTH(TODAY()),1),'Blind Count Entry'!$B:$B,"&lt;="&amp;EOMONTH(TODAY(),0))&gt;0,"YES","NO"))</f>
        <v/>
      </c>
    </row>
    <row r="472">
      <c r="A472" s="8">
        <f>IF('Master Inventory'!A470="","",'Master Inventory'!A470)</f>
        <v/>
      </c>
      <c r="B472" s="8">
        <f>IF($A472="","",INDEX('Master Inventory'!$B:$B,MATCH($A472,'Master Inventory'!$A:$A,0)))</f>
        <v/>
      </c>
      <c r="C472" s="8">
        <f>IF($A472="","",IFERROR(INDEX('ABC Analysis'!$F:$F,MATCH($A472,'ABC Analysis'!$A:$A,0)),""))</f>
        <v/>
      </c>
      <c r="D472" s="8">
        <f>IF($C472="","",IF($C472="A",$K$1,IF($C472="B",$M$1,$O$1)))</f>
        <v/>
      </c>
      <c r="E472" s="12" t="n"/>
      <c r="F472" s="13">
        <f>IF(OR($A472="",$E472=""),"",$E472+$D472)</f>
        <v/>
      </c>
      <c r="G472" s="8">
        <f>IF($F472="","",IF($F472&lt;TODAY(),"OVERDUE","ON TRACK"))</f>
        <v/>
      </c>
      <c r="H472" s="8">
        <f>IF($A472="","",IF(COUNTIFS('Blind Count Entry'!$C:$C,$A472,'Blind Count Entry'!$B:$B,"&gt;="&amp;DATE(YEAR(TODAY()),MONTH(TODAY()),1),'Blind Count Entry'!$B:$B,"&lt;="&amp;EOMONTH(TODAY(),0))&gt;0,"YES","NO"))</f>
        <v/>
      </c>
    </row>
    <row r="473">
      <c r="A473" s="8">
        <f>IF('Master Inventory'!A471="","",'Master Inventory'!A471)</f>
        <v/>
      </c>
      <c r="B473" s="8">
        <f>IF($A473="","",INDEX('Master Inventory'!$B:$B,MATCH($A473,'Master Inventory'!$A:$A,0)))</f>
        <v/>
      </c>
      <c r="C473" s="8">
        <f>IF($A473="","",IFERROR(INDEX('ABC Analysis'!$F:$F,MATCH($A473,'ABC Analysis'!$A:$A,0)),""))</f>
        <v/>
      </c>
      <c r="D473" s="8">
        <f>IF($C473="","",IF($C473="A",$K$1,IF($C473="B",$M$1,$O$1)))</f>
        <v/>
      </c>
      <c r="E473" s="12" t="n"/>
      <c r="F473" s="13">
        <f>IF(OR($A473="",$E473=""),"",$E473+$D473)</f>
        <v/>
      </c>
      <c r="G473" s="8">
        <f>IF($F473="","",IF($F473&lt;TODAY(),"OVERDUE","ON TRACK"))</f>
        <v/>
      </c>
      <c r="H473" s="8">
        <f>IF($A473="","",IF(COUNTIFS('Blind Count Entry'!$C:$C,$A473,'Blind Count Entry'!$B:$B,"&gt;="&amp;DATE(YEAR(TODAY()),MONTH(TODAY()),1),'Blind Count Entry'!$B:$B,"&lt;="&amp;EOMONTH(TODAY(),0))&gt;0,"YES","NO"))</f>
        <v/>
      </c>
    </row>
    <row r="474">
      <c r="A474" s="8">
        <f>IF('Master Inventory'!A472="","",'Master Inventory'!A472)</f>
        <v/>
      </c>
      <c r="B474" s="8">
        <f>IF($A474="","",INDEX('Master Inventory'!$B:$B,MATCH($A474,'Master Inventory'!$A:$A,0)))</f>
        <v/>
      </c>
      <c r="C474" s="8">
        <f>IF($A474="","",IFERROR(INDEX('ABC Analysis'!$F:$F,MATCH($A474,'ABC Analysis'!$A:$A,0)),""))</f>
        <v/>
      </c>
      <c r="D474" s="8">
        <f>IF($C474="","",IF($C474="A",$K$1,IF($C474="B",$M$1,$O$1)))</f>
        <v/>
      </c>
      <c r="E474" s="12" t="n"/>
      <c r="F474" s="13">
        <f>IF(OR($A474="",$E474=""),"",$E474+$D474)</f>
        <v/>
      </c>
      <c r="G474" s="8">
        <f>IF($F474="","",IF($F474&lt;TODAY(),"OVERDUE","ON TRACK"))</f>
        <v/>
      </c>
      <c r="H474" s="8">
        <f>IF($A474="","",IF(COUNTIFS('Blind Count Entry'!$C:$C,$A474,'Blind Count Entry'!$B:$B,"&gt;="&amp;DATE(YEAR(TODAY()),MONTH(TODAY()),1),'Blind Count Entry'!$B:$B,"&lt;="&amp;EOMONTH(TODAY(),0))&gt;0,"YES","NO"))</f>
        <v/>
      </c>
    </row>
    <row r="475">
      <c r="A475" s="8">
        <f>IF('Master Inventory'!A473="","",'Master Inventory'!A473)</f>
        <v/>
      </c>
      <c r="B475" s="8">
        <f>IF($A475="","",INDEX('Master Inventory'!$B:$B,MATCH($A475,'Master Inventory'!$A:$A,0)))</f>
        <v/>
      </c>
      <c r="C475" s="8">
        <f>IF($A475="","",IFERROR(INDEX('ABC Analysis'!$F:$F,MATCH($A475,'ABC Analysis'!$A:$A,0)),""))</f>
        <v/>
      </c>
      <c r="D475" s="8">
        <f>IF($C475="","",IF($C475="A",$K$1,IF($C475="B",$M$1,$O$1)))</f>
        <v/>
      </c>
      <c r="E475" s="12" t="n"/>
      <c r="F475" s="13">
        <f>IF(OR($A475="",$E475=""),"",$E475+$D475)</f>
        <v/>
      </c>
      <c r="G475" s="8">
        <f>IF($F475="","",IF($F475&lt;TODAY(),"OVERDUE","ON TRACK"))</f>
        <v/>
      </c>
      <c r="H475" s="8">
        <f>IF($A475="","",IF(COUNTIFS('Blind Count Entry'!$C:$C,$A475,'Blind Count Entry'!$B:$B,"&gt;="&amp;DATE(YEAR(TODAY()),MONTH(TODAY()),1),'Blind Count Entry'!$B:$B,"&lt;="&amp;EOMONTH(TODAY(),0))&gt;0,"YES","NO"))</f>
        <v/>
      </c>
    </row>
    <row r="476">
      <c r="A476" s="8">
        <f>IF('Master Inventory'!A474="","",'Master Inventory'!A474)</f>
        <v/>
      </c>
      <c r="B476" s="8">
        <f>IF($A476="","",INDEX('Master Inventory'!$B:$B,MATCH($A476,'Master Inventory'!$A:$A,0)))</f>
        <v/>
      </c>
      <c r="C476" s="8">
        <f>IF($A476="","",IFERROR(INDEX('ABC Analysis'!$F:$F,MATCH($A476,'ABC Analysis'!$A:$A,0)),""))</f>
        <v/>
      </c>
      <c r="D476" s="8">
        <f>IF($C476="","",IF($C476="A",$K$1,IF($C476="B",$M$1,$O$1)))</f>
        <v/>
      </c>
      <c r="E476" s="12" t="n"/>
      <c r="F476" s="13">
        <f>IF(OR($A476="",$E476=""),"",$E476+$D476)</f>
        <v/>
      </c>
      <c r="G476" s="8">
        <f>IF($F476="","",IF($F476&lt;TODAY(),"OVERDUE","ON TRACK"))</f>
        <v/>
      </c>
      <c r="H476" s="8">
        <f>IF($A476="","",IF(COUNTIFS('Blind Count Entry'!$C:$C,$A476,'Blind Count Entry'!$B:$B,"&gt;="&amp;DATE(YEAR(TODAY()),MONTH(TODAY()),1),'Blind Count Entry'!$B:$B,"&lt;="&amp;EOMONTH(TODAY(),0))&gt;0,"YES","NO"))</f>
        <v/>
      </c>
    </row>
    <row r="477">
      <c r="A477" s="8">
        <f>IF('Master Inventory'!A475="","",'Master Inventory'!A475)</f>
        <v/>
      </c>
      <c r="B477" s="8">
        <f>IF($A477="","",INDEX('Master Inventory'!$B:$B,MATCH($A477,'Master Inventory'!$A:$A,0)))</f>
        <v/>
      </c>
      <c r="C477" s="8">
        <f>IF($A477="","",IFERROR(INDEX('ABC Analysis'!$F:$F,MATCH($A477,'ABC Analysis'!$A:$A,0)),""))</f>
        <v/>
      </c>
      <c r="D477" s="8">
        <f>IF($C477="","",IF($C477="A",$K$1,IF($C477="B",$M$1,$O$1)))</f>
        <v/>
      </c>
      <c r="E477" s="12" t="n"/>
      <c r="F477" s="13">
        <f>IF(OR($A477="",$E477=""),"",$E477+$D477)</f>
        <v/>
      </c>
      <c r="G477" s="8">
        <f>IF($F477="","",IF($F477&lt;TODAY(),"OVERDUE","ON TRACK"))</f>
        <v/>
      </c>
      <c r="H477" s="8">
        <f>IF($A477="","",IF(COUNTIFS('Blind Count Entry'!$C:$C,$A477,'Blind Count Entry'!$B:$B,"&gt;="&amp;DATE(YEAR(TODAY()),MONTH(TODAY()),1),'Blind Count Entry'!$B:$B,"&lt;="&amp;EOMONTH(TODAY(),0))&gt;0,"YES","NO"))</f>
        <v/>
      </c>
    </row>
    <row r="478">
      <c r="A478" s="8">
        <f>IF('Master Inventory'!A476="","",'Master Inventory'!A476)</f>
        <v/>
      </c>
      <c r="B478" s="8">
        <f>IF($A478="","",INDEX('Master Inventory'!$B:$B,MATCH($A478,'Master Inventory'!$A:$A,0)))</f>
        <v/>
      </c>
      <c r="C478" s="8">
        <f>IF($A478="","",IFERROR(INDEX('ABC Analysis'!$F:$F,MATCH($A478,'ABC Analysis'!$A:$A,0)),""))</f>
        <v/>
      </c>
      <c r="D478" s="8">
        <f>IF($C478="","",IF($C478="A",$K$1,IF($C478="B",$M$1,$O$1)))</f>
        <v/>
      </c>
      <c r="E478" s="12" t="n"/>
      <c r="F478" s="13">
        <f>IF(OR($A478="",$E478=""),"",$E478+$D478)</f>
        <v/>
      </c>
      <c r="G478" s="8">
        <f>IF($F478="","",IF($F478&lt;TODAY(),"OVERDUE","ON TRACK"))</f>
        <v/>
      </c>
      <c r="H478" s="8">
        <f>IF($A478="","",IF(COUNTIFS('Blind Count Entry'!$C:$C,$A478,'Blind Count Entry'!$B:$B,"&gt;="&amp;DATE(YEAR(TODAY()),MONTH(TODAY()),1),'Blind Count Entry'!$B:$B,"&lt;="&amp;EOMONTH(TODAY(),0))&gt;0,"YES","NO"))</f>
        <v/>
      </c>
    </row>
    <row r="479">
      <c r="A479" s="8">
        <f>IF('Master Inventory'!A477="","",'Master Inventory'!A477)</f>
        <v/>
      </c>
      <c r="B479" s="8">
        <f>IF($A479="","",INDEX('Master Inventory'!$B:$B,MATCH($A479,'Master Inventory'!$A:$A,0)))</f>
        <v/>
      </c>
      <c r="C479" s="8">
        <f>IF($A479="","",IFERROR(INDEX('ABC Analysis'!$F:$F,MATCH($A479,'ABC Analysis'!$A:$A,0)),""))</f>
        <v/>
      </c>
      <c r="D479" s="8">
        <f>IF($C479="","",IF($C479="A",$K$1,IF($C479="B",$M$1,$O$1)))</f>
        <v/>
      </c>
      <c r="E479" s="12" t="n"/>
      <c r="F479" s="13">
        <f>IF(OR($A479="",$E479=""),"",$E479+$D479)</f>
        <v/>
      </c>
      <c r="G479" s="8">
        <f>IF($F479="","",IF($F479&lt;TODAY(),"OVERDUE","ON TRACK"))</f>
        <v/>
      </c>
      <c r="H479" s="8">
        <f>IF($A479="","",IF(COUNTIFS('Blind Count Entry'!$C:$C,$A479,'Blind Count Entry'!$B:$B,"&gt;="&amp;DATE(YEAR(TODAY()),MONTH(TODAY()),1),'Blind Count Entry'!$B:$B,"&lt;="&amp;EOMONTH(TODAY(),0))&gt;0,"YES","NO"))</f>
        <v/>
      </c>
    </row>
    <row r="480">
      <c r="A480" s="8">
        <f>IF('Master Inventory'!A478="","",'Master Inventory'!A478)</f>
        <v/>
      </c>
      <c r="B480" s="8">
        <f>IF($A480="","",INDEX('Master Inventory'!$B:$B,MATCH($A480,'Master Inventory'!$A:$A,0)))</f>
        <v/>
      </c>
      <c r="C480" s="8">
        <f>IF($A480="","",IFERROR(INDEX('ABC Analysis'!$F:$F,MATCH($A480,'ABC Analysis'!$A:$A,0)),""))</f>
        <v/>
      </c>
      <c r="D480" s="8">
        <f>IF($C480="","",IF($C480="A",$K$1,IF($C480="B",$M$1,$O$1)))</f>
        <v/>
      </c>
      <c r="E480" s="12" t="n"/>
      <c r="F480" s="13">
        <f>IF(OR($A480="",$E480=""),"",$E480+$D480)</f>
        <v/>
      </c>
      <c r="G480" s="8">
        <f>IF($F480="","",IF($F480&lt;TODAY(),"OVERDUE","ON TRACK"))</f>
        <v/>
      </c>
      <c r="H480" s="8">
        <f>IF($A480="","",IF(COUNTIFS('Blind Count Entry'!$C:$C,$A480,'Blind Count Entry'!$B:$B,"&gt;="&amp;DATE(YEAR(TODAY()),MONTH(TODAY()),1),'Blind Count Entry'!$B:$B,"&lt;="&amp;EOMONTH(TODAY(),0))&gt;0,"YES","NO"))</f>
        <v/>
      </c>
    </row>
    <row r="481">
      <c r="A481" s="8">
        <f>IF('Master Inventory'!A479="","",'Master Inventory'!A479)</f>
        <v/>
      </c>
      <c r="B481" s="8">
        <f>IF($A481="","",INDEX('Master Inventory'!$B:$B,MATCH($A481,'Master Inventory'!$A:$A,0)))</f>
        <v/>
      </c>
      <c r="C481" s="8">
        <f>IF($A481="","",IFERROR(INDEX('ABC Analysis'!$F:$F,MATCH($A481,'ABC Analysis'!$A:$A,0)),""))</f>
        <v/>
      </c>
      <c r="D481" s="8">
        <f>IF($C481="","",IF($C481="A",$K$1,IF($C481="B",$M$1,$O$1)))</f>
        <v/>
      </c>
      <c r="E481" s="12" t="n"/>
      <c r="F481" s="13">
        <f>IF(OR($A481="",$E481=""),"",$E481+$D481)</f>
        <v/>
      </c>
      <c r="G481" s="8">
        <f>IF($F481="","",IF($F481&lt;TODAY(),"OVERDUE","ON TRACK"))</f>
        <v/>
      </c>
      <c r="H481" s="8">
        <f>IF($A481="","",IF(COUNTIFS('Blind Count Entry'!$C:$C,$A481,'Blind Count Entry'!$B:$B,"&gt;="&amp;DATE(YEAR(TODAY()),MONTH(TODAY()),1),'Blind Count Entry'!$B:$B,"&lt;="&amp;EOMONTH(TODAY(),0))&gt;0,"YES","NO"))</f>
        <v/>
      </c>
    </row>
    <row r="482">
      <c r="A482" s="8">
        <f>IF('Master Inventory'!A480="","",'Master Inventory'!A480)</f>
        <v/>
      </c>
      <c r="B482" s="8">
        <f>IF($A482="","",INDEX('Master Inventory'!$B:$B,MATCH($A482,'Master Inventory'!$A:$A,0)))</f>
        <v/>
      </c>
      <c r="C482" s="8">
        <f>IF($A482="","",IFERROR(INDEX('ABC Analysis'!$F:$F,MATCH($A482,'ABC Analysis'!$A:$A,0)),""))</f>
        <v/>
      </c>
      <c r="D482" s="8">
        <f>IF($C482="","",IF($C482="A",$K$1,IF($C482="B",$M$1,$O$1)))</f>
        <v/>
      </c>
      <c r="E482" s="12" t="n"/>
      <c r="F482" s="13">
        <f>IF(OR($A482="",$E482=""),"",$E482+$D482)</f>
        <v/>
      </c>
      <c r="G482" s="8">
        <f>IF($F482="","",IF($F482&lt;TODAY(),"OVERDUE","ON TRACK"))</f>
        <v/>
      </c>
      <c r="H482" s="8">
        <f>IF($A482="","",IF(COUNTIFS('Blind Count Entry'!$C:$C,$A482,'Blind Count Entry'!$B:$B,"&gt;="&amp;DATE(YEAR(TODAY()),MONTH(TODAY()),1),'Blind Count Entry'!$B:$B,"&lt;="&amp;EOMONTH(TODAY(),0))&gt;0,"YES","NO"))</f>
        <v/>
      </c>
    </row>
    <row r="483">
      <c r="A483" s="8">
        <f>IF('Master Inventory'!A481="","",'Master Inventory'!A481)</f>
        <v/>
      </c>
      <c r="B483" s="8">
        <f>IF($A483="","",INDEX('Master Inventory'!$B:$B,MATCH($A483,'Master Inventory'!$A:$A,0)))</f>
        <v/>
      </c>
      <c r="C483" s="8">
        <f>IF($A483="","",IFERROR(INDEX('ABC Analysis'!$F:$F,MATCH($A483,'ABC Analysis'!$A:$A,0)),""))</f>
        <v/>
      </c>
      <c r="D483" s="8">
        <f>IF($C483="","",IF($C483="A",$K$1,IF($C483="B",$M$1,$O$1)))</f>
        <v/>
      </c>
      <c r="E483" s="12" t="n"/>
      <c r="F483" s="13">
        <f>IF(OR($A483="",$E483=""),"",$E483+$D483)</f>
        <v/>
      </c>
      <c r="G483" s="8">
        <f>IF($F483="","",IF($F483&lt;TODAY(),"OVERDUE","ON TRACK"))</f>
        <v/>
      </c>
      <c r="H483" s="8">
        <f>IF($A483="","",IF(COUNTIFS('Blind Count Entry'!$C:$C,$A483,'Blind Count Entry'!$B:$B,"&gt;="&amp;DATE(YEAR(TODAY()),MONTH(TODAY()),1),'Blind Count Entry'!$B:$B,"&lt;="&amp;EOMONTH(TODAY(),0))&gt;0,"YES","NO"))</f>
        <v/>
      </c>
    </row>
    <row r="484">
      <c r="A484" s="8">
        <f>IF('Master Inventory'!A482="","",'Master Inventory'!A482)</f>
        <v/>
      </c>
      <c r="B484" s="8">
        <f>IF($A484="","",INDEX('Master Inventory'!$B:$B,MATCH($A484,'Master Inventory'!$A:$A,0)))</f>
        <v/>
      </c>
      <c r="C484" s="8">
        <f>IF($A484="","",IFERROR(INDEX('ABC Analysis'!$F:$F,MATCH($A484,'ABC Analysis'!$A:$A,0)),""))</f>
        <v/>
      </c>
      <c r="D484" s="8">
        <f>IF($C484="","",IF($C484="A",$K$1,IF($C484="B",$M$1,$O$1)))</f>
        <v/>
      </c>
      <c r="E484" s="12" t="n"/>
      <c r="F484" s="13">
        <f>IF(OR($A484="",$E484=""),"",$E484+$D484)</f>
        <v/>
      </c>
      <c r="G484" s="8">
        <f>IF($F484="","",IF($F484&lt;TODAY(),"OVERDUE","ON TRACK"))</f>
        <v/>
      </c>
      <c r="H484" s="8">
        <f>IF($A484="","",IF(COUNTIFS('Blind Count Entry'!$C:$C,$A484,'Blind Count Entry'!$B:$B,"&gt;="&amp;DATE(YEAR(TODAY()),MONTH(TODAY()),1),'Blind Count Entry'!$B:$B,"&lt;="&amp;EOMONTH(TODAY(),0))&gt;0,"YES","NO"))</f>
        <v/>
      </c>
    </row>
    <row r="485">
      <c r="A485" s="8">
        <f>IF('Master Inventory'!A483="","",'Master Inventory'!A483)</f>
        <v/>
      </c>
      <c r="B485" s="8">
        <f>IF($A485="","",INDEX('Master Inventory'!$B:$B,MATCH($A485,'Master Inventory'!$A:$A,0)))</f>
        <v/>
      </c>
      <c r="C485" s="8">
        <f>IF($A485="","",IFERROR(INDEX('ABC Analysis'!$F:$F,MATCH($A485,'ABC Analysis'!$A:$A,0)),""))</f>
        <v/>
      </c>
      <c r="D485" s="8">
        <f>IF($C485="","",IF($C485="A",$K$1,IF($C485="B",$M$1,$O$1)))</f>
        <v/>
      </c>
      <c r="E485" s="12" t="n"/>
      <c r="F485" s="13">
        <f>IF(OR($A485="",$E485=""),"",$E485+$D485)</f>
        <v/>
      </c>
      <c r="G485" s="8">
        <f>IF($F485="","",IF($F485&lt;TODAY(),"OVERDUE","ON TRACK"))</f>
        <v/>
      </c>
      <c r="H485" s="8">
        <f>IF($A485="","",IF(COUNTIFS('Blind Count Entry'!$C:$C,$A485,'Blind Count Entry'!$B:$B,"&gt;="&amp;DATE(YEAR(TODAY()),MONTH(TODAY()),1),'Blind Count Entry'!$B:$B,"&lt;="&amp;EOMONTH(TODAY(),0))&gt;0,"YES","NO"))</f>
        <v/>
      </c>
    </row>
    <row r="486">
      <c r="A486" s="8">
        <f>IF('Master Inventory'!A484="","",'Master Inventory'!A484)</f>
        <v/>
      </c>
      <c r="B486" s="8">
        <f>IF($A486="","",INDEX('Master Inventory'!$B:$B,MATCH($A486,'Master Inventory'!$A:$A,0)))</f>
        <v/>
      </c>
      <c r="C486" s="8">
        <f>IF($A486="","",IFERROR(INDEX('ABC Analysis'!$F:$F,MATCH($A486,'ABC Analysis'!$A:$A,0)),""))</f>
        <v/>
      </c>
      <c r="D486" s="8">
        <f>IF($C486="","",IF($C486="A",$K$1,IF($C486="B",$M$1,$O$1)))</f>
        <v/>
      </c>
      <c r="E486" s="12" t="n"/>
      <c r="F486" s="13">
        <f>IF(OR($A486="",$E486=""),"",$E486+$D486)</f>
        <v/>
      </c>
      <c r="G486" s="8">
        <f>IF($F486="","",IF($F486&lt;TODAY(),"OVERDUE","ON TRACK"))</f>
        <v/>
      </c>
      <c r="H486" s="8">
        <f>IF($A486="","",IF(COUNTIFS('Blind Count Entry'!$C:$C,$A486,'Blind Count Entry'!$B:$B,"&gt;="&amp;DATE(YEAR(TODAY()),MONTH(TODAY()),1),'Blind Count Entry'!$B:$B,"&lt;="&amp;EOMONTH(TODAY(),0))&gt;0,"YES","NO"))</f>
        <v/>
      </c>
    </row>
    <row r="487">
      <c r="A487" s="8">
        <f>IF('Master Inventory'!A485="","",'Master Inventory'!A485)</f>
        <v/>
      </c>
      <c r="B487" s="8">
        <f>IF($A487="","",INDEX('Master Inventory'!$B:$B,MATCH($A487,'Master Inventory'!$A:$A,0)))</f>
        <v/>
      </c>
      <c r="C487" s="8">
        <f>IF($A487="","",IFERROR(INDEX('ABC Analysis'!$F:$F,MATCH($A487,'ABC Analysis'!$A:$A,0)),""))</f>
        <v/>
      </c>
      <c r="D487" s="8">
        <f>IF($C487="","",IF($C487="A",$K$1,IF($C487="B",$M$1,$O$1)))</f>
        <v/>
      </c>
      <c r="E487" s="12" t="n"/>
      <c r="F487" s="13">
        <f>IF(OR($A487="",$E487=""),"",$E487+$D487)</f>
        <v/>
      </c>
      <c r="G487" s="8">
        <f>IF($F487="","",IF($F487&lt;TODAY(),"OVERDUE","ON TRACK"))</f>
        <v/>
      </c>
      <c r="H487" s="8">
        <f>IF($A487="","",IF(COUNTIFS('Blind Count Entry'!$C:$C,$A487,'Blind Count Entry'!$B:$B,"&gt;="&amp;DATE(YEAR(TODAY()),MONTH(TODAY()),1),'Blind Count Entry'!$B:$B,"&lt;="&amp;EOMONTH(TODAY(),0))&gt;0,"YES","NO"))</f>
        <v/>
      </c>
    </row>
    <row r="488">
      <c r="A488" s="8">
        <f>IF('Master Inventory'!A486="","",'Master Inventory'!A486)</f>
        <v/>
      </c>
      <c r="B488" s="8">
        <f>IF($A488="","",INDEX('Master Inventory'!$B:$B,MATCH($A488,'Master Inventory'!$A:$A,0)))</f>
        <v/>
      </c>
      <c r="C488" s="8">
        <f>IF($A488="","",IFERROR(INDEX('ABC Analysis'!$F:$F,MATCH($A488,'ABC Analysis'!$A:$A,0)),""))</f>
        <v/>
      </c>
      <c r="D488" s="8">
        <f>IF($C488="","",IF($C488="A",$K$1,IF($C488="B",$M$1,$O$1)))</f>
        <v/>
      </c>
      <c r="E488" s="12" t="n"/>
      <c r="F488" s="13">
        <f>IF(OR($A488="",$E488=""),"",$E488+$D488)</f>
        <v/>
      </c>
      <c r="G488" s="8">
        <f>IF($F488="","",IF($F488&lt;TODAY(),"OVERDUE","ON TRACK"))</f>
        <v/>
      </c>
      <c r="H488" s="8">
        <f>IF($A488="","",IF(COUNTIFS('Blind Count Entry'!$C:$C,$A488,'Blind Count Entry'!$B:$B,"&gt;="&amp;DATE(YEAR(TODAY()),MONTH(TODAY()),1),'Blind Count Entry'!$B:$B,"&lt;="&amp;EOMONTH(TODAY(),0))&gt;0,"YES","NO"))</f>
        <v/>
      </c>
    </row>
    <row r="489">
      <c r="A489" s="8">
        <f>IF('Master Inventory'!A487="","",'Master Inventory'!A487)</f>
        <v/>
      </c>
      <c r="B489" s="8">
        <f>IF($A489="","",INDEX('Master Inventory'!$B:$B,MATCH($A489,'Master Inventory'!$A:$A,0)))</f>
        <v/>
      </c>
      <c r="C489" s="8">
        <f>IF($A489="","",IFERROR(INDEX('ABC Analysis'!$F:$F,MATCH($A489,'ABC Analysis'!$A:$A,0)),""))</f>
        <v/>
      </c>
      <c r="D489" s="8">
        <f>IF($C489="","",IF($C489="A",$K$1,IF($C489="B",$M$1,$O$1)))</f>
        <v/>
      </c>
      <c r="E489" s="12" t="n"/>
      <c r="F489" s="13">
        <f>IF(OR($A489="",$E489=""),"",$E489+$D489)</f>
        <v/>
      </c>
      <c r="G489" s="8">
        <f>IF($F489="","",IF($F489&lt;TODAY(),"OVERDUE","ON TRACK"))</f>
        <v/>
      </c>
      <c r="H489" s="8">
        <f>IF($A489="","",IF(COUNTIFS('Blind Count Entry'!$C:$C,$A489,'Blind Count Entry'!$B:$B,"&gt;="&amp;DATE(YEAR(TODAY()),MONTH(TODAY()),1),'Blind Count Entry'!$B:$B,"&lt;="&amp;EOMONTH(TODAY(),0))&gt;0,"YES","NO"))</f>
        <v/>
      </c>
    </row>
    <row r="490">
      <c r="A490" s="8">
        <f>IF('Master Inventory'!A488="","",'Master Inventory'!A488)</f>
        <v/>
      </c>
      <c r="B490" s="8">
        <f>IF($A490="","",INDEX('Master Inventory'!$B:$B,MATCH($A490,'Master Inventory'!$A:$A,0)))</f>
        <v/>
      </c>
      <c r="C490" s="8">
        <f>IF($A490="","",IFERROR(INDEX('ABC Analysis'!$F:$F,MATCH($A490,'ABC Analysis'!$A:$A,0)),""))</f>
        <v/>
      </c>
      <c r="D490" s="8">
        <f>IF($C490="","",IF($C490="A",$K$1,IF($C490="B",$M$1,$O$1)))</f>
        <v/>
      </c>
      <c r="E490" s="12" t="n"/>
      <c r="F490" s="13">
        <f>IF(OR($A490="",$E490=""),"",$E490+$D490)</f>
        <v/>
      </c>
      <c r="G490" s="8">
        <f>IF($F490="","",IF($F490&lt;TODAY(),"OVERDUE","ON TRACK"))</f>
        <v/>
      </c>
      <c r="H490" s="8">
        <f>IF($A490="","",IF(COUNTIFS('Blind Count Entry'!$C:$C,$A490,'Blind Count Entry'!$B:$B,"&gt;="&amp;DATE(YEAR(TODAY()),MONTH(TODAY()),1),'Blind Count Entry'!$B:$B,"&lt;="&amp;EOMONTH(TODAY(),0))&gt;0,"YES","NO"))</f>
        <v/>
      </c>
    </row>
    <row r="491">
      <c r="A491" s="8">
        <f>IF('Master Inventory'!A489="","",'Master Inventory'!A489)</f>
        <v/>
      </c>
      <c r="B491" s="8">
        <f>IF($A491="","",INDEX('Master Inventory'!$B:$B,MATCH($A491,'Master Inventory'!$A:$A,0)))</f>
        <v/>
      </c>
      <c r="C491" s="8">
        <f>IF($A491="","",IFERROR(INDEX('ABC Analysis'!$F:$F,MATCH($A491,'ABC Analysis'!$A:$A,0)),""))</f>
        <v/>
      </c>
      <c r="D491" s="8">
        <f>IF($C491="","",IF($C491="A",$K$1,IF($C491="B",$M$1,$O$1)))</f>
        <v/>
      </c>
      <c r="E491" s="12" t="n"/>
      <c r="F491" s="13">
        <f>IF(OR($A491="",$E491=""),"",$E491+$D491)</f>
        <v/>
      </c>
      <c r="G491" s="8">
        <f>IF($F491="","",IF($F491&lt;TODAY(),"OVERDUE","ON TRACK"))</f>
        <v/>
      </c>
      <c r="H491" s="8">
        <f>IF($A491="","",IF(COUNTIFS('Blind Count Entry'!$C:$C,$A491,'Blind Count Entry'!$B:$B,"&gt;="&amp;DATE(YEAR(TODAY()),MONTH(TODAY()),1),'Blind Count Entry'!$B:$B,"&lt;="&amp;EOMONTH(TODAY(),0))&gt;0,"YES","NO"))</f>
        <v/>
      </c>
    </row>
    <row r="492">
      <c r="A492" s="8">
        <f>IF('Master Inventory'!A490="","",'Master Inventory'!A490)</f>
        <v/>
      </c>
      <c r="B492" s="8">
        <f>IF($A492="","",INDEX('Master Inventory'!$B:$B,MATCH($A492,'Master Inventory'!$A:$A,0)))</f>
        <v/>
      </c>
      <c r="C492" s="8">
        <f>IF($A492="","",IFERROR(INDEX('ABC Analysis'!$F:$F,MATCH($A492,'ABC Analysis'!$A:$A,0)),""))</f>
        <v/>
      </c>
      <c r="D492" s="8">
        <f>IF($C492="","",IF($C492="A",$K$1,IF($C492="B",$M$1,$O$1)))</f>
        <v/>
      </c>
      <c r="E492" s="12" t="n"/>
      <c r="F492" s="13">
        <f>IF(OR($A492="",$E492=""),"",$E492+$D492)</f>
        <v/>
      </c>
      <c r="G492" s="8">
        <f>IF($F492="","",IF($F492&lt;TODAY(),"OVERDUE","ON TRACK"))</f>
        <v/>
      </c>
      <c r="H492" s="8">
        <f>IF($A492="","",IF(COUNTIFS('Blind Count Entry'!$C:$C,$A492,'Blind Count Entry'!$B:$B,"&gt;="&amp;DATE(YEAR(TODAY()),MONTH(TODAY()),1),'Blind Count Entry'!$B:$B,"&lt;="&amp;EOMONTH(TODAY(),0))&gt;0,"YES","NO"))</f>
        <v/>
      </c>
    </row>
    <row r="493">
      <c r="A493" s="8">
        <f>IF('Master Inventory'!A491="","",'Master Inventory'!A491)</f>
        <v/>
      </c>
      <c r="B493" s="8">
        <f>IF($A493="","",INDEX('Master Inventory'!$B:$B,MATCH($A493,'Master Inventory'!$A:$A,0)))</f>
        <v/>
      </c>
      <c r="C493" s="8">
        <f>IF($A493="","",IFERROR(INDEX('ABC Analysis'!$F:$F,MATCH($A493,'ABC Analysis'!$A:$A,0)),""))</f>
        <v/>
      </c>
      <c r="D493" s="8">
        <f>IF($C493="","",IF($C493="A",$K$1,IF($C493="B",$M$1,$O$1)))</f>
        <v/>
      </c>
      <c r="E493" s="12" t="n"/>
      <c r="F493" s="13">
        <f>IF(OR($A493="",$E493=""),"",$E493+$D493)</f>
        <v/>
      </c>
      <c r="G493" s="8">
        <f>IF($F493="","",IF($F493&lt;TODAY(),"OVERDUE","ON TRACK"))</f>
        <v/>
      </c>
      <c r="H493" s="8">
        <f>IF($A493="","",IF(COUNTIFS('Blind Count Entry'!$C:$C,$A493,'Blind Count Entry'!$B:$B,"&gt;="&amp;DATE(YEAR(TODAY()),MONTH(TODAY()),1),'Blind Count Entry'!$B:$B,"&lt;="&amp;EOMONTH(TODAY(),0))&gt;0,"YES","NO"))</f>
        <v/>
      </c>
    </row>
    <row r="494">
      <c r="A494" s="8">
        <f>IF('Master Inventory'!A492="","",'Master Inventory'!A492)</f>
        <v/>
      </c>
      <c r="B494" s="8">
        <f>IF($A494="","",INDEX('Master Inventory'!$B:$B,MATCH($A494,'Master Inventory'!$A:$A,0)))</f>
        <v/>
      </c>
      <c r="C494" s="8">
        <f>IF($A494="","",IFERROR(INDEX('ABC Analysis'!$F:$F,MATCH($A494,'ABC Analysis'!$A:$A,0)),""))</f>
        <v/>
      </c>
      <c r="D494" s="8">
        <f>IF($C494="","",IF($C494="A",$K$1,IF($C494="B",$M$1,$O$1)))</f>
        <v/>
      </c>
      <c r="E494" s="12" t="n"/>
      <c r="F494" s="13">
        <f>IF(OR($A494="",$E494=""),"",$E494+$D494)</f>
        <v/>
      </c>
      <c r="G494" s="8">
        <f>IF($F494="","",IF($F494&lt;TODAY(),"OVERDUE","ON TRACK"))</f>
        <v/>
      </c>
      <c r="H494" s="8">
        <f>IF($A494="","",IF(COUNTIFS('Blind Count Entry'!$C:$C,$A494,'Blind Count Entry'!$B:$B,"&gt;="&amp;DATE(YEAR(TODAY()),MONTH(TODAY()),1),'Blind Count Entry'!$B:$B,"&lt;="&amp;EOMONTH(TODAY(),0))&gt;0,"YES","NO"))</f>
        <v/>
      </c>
    </row>
    <row r="495">
      <c r="A495" s="8">
        <f>IF('Master Inventory'!A493="","",'Master Inventory'!A493)</f>
        <v/>
      </c>
      <c r="B495" s="8">
        <f>IF($A495="","",INDEX('Master Inventory'!$B:$B,MATCH($A495,'Master Inventory'!$A:$A,0)))</f>
        <v/>
      </c>
      <c r="C495" s="8">
        <f>IF($A495="","",IFERROR(INDEX('ABC Analysis'!$F:$F,MATCH($A495,'ABC Analysis'!$A:$A,0)),""))</f>
        <v/>
      </c>
      <c r="D495" s="8">
        <f>IF($C495="","",IF($C495="A",$K$1,IF($C495="B",$M$1,$O$1)))</f>
        <v/>
      </c>
      <c r="E495" s="12" t="n"/>
      <c r="F495" s="13">
        <f>IF(OR($A495="",$E495=""),"",$E495+$D495)</f>
        <v/>
      </c>
      <c r="G495" s="8">
        <f>IF($F495="","",IF($F495&lt;TODAY(),"OVERDUE","ON TRACK"))</f>
        <v/>
      </c>
      <c r="H495" s="8">
        <f>IF($A495="","",IF(COUNTIFS('Blind Count Entry'!$C:$C,$A495,'Blind Count Entry'!$B:$B,"&gt;="&amp;DATE(YEAR(TODAY()),MONTH(TODAY()),1),'Blind Count Entry'!$B:$B,"&lt;="&amp;EOMONTH(TODAY(),0))&gt;0,"YES","NO"))</f>
        <v/>
      </c>
    </row>
    <row r="496">
      <c r="A496" s="8">
        <f>IF('Master Inventory'!A494="","",'Master Inventory'!A494)</f>
        <v/>
      </c>
      <c r="B496" s="8">
        <f>IF($A496="","",INDEX('Master Inventory'!$B:$B,MATCH($A496,'Master Inventory'!$A:$A,0)))</f>
        <v/>
      </c>
      <c r="C496" s="8">
        <f>IF($A496="","",IFERROR(INDEX('ABC Analysis'!$F:$F,MATCH($A496,'ABC Analysis'!$A:$A,0)),""))</f>
        <v/>
      </c>
      <c r="D496" s="8">
        <f>IF($C496="","",IF($C496="A",$K$1,IF($C496="B",$M$1,$O$1)))</f>
        <v/>
      </c>
      <c r="E496" s="12" t="n"/>
      <c r="F496" s="13">
        <f>IF(OR($A496="",$E496=""),"",$E496+$D496)</f>
        <v/>
      </c>
      <c r="G496" s="8">
        <f>IF($F496="","",IF($F496&lt;TODAY(),"OVERDUE","ON TRACK"))</f>
        <v/>
      </c>
      <c r="H496" s="8">
        <f>IF($A496="","",IF(COUNTIFS('Blind Count Entry'!$C:$C,$A496,'Blind Count Entry'!$B:$B,"&gt;="&amp;DATE(YEAR(TODAY()),MONTH(TODAY()),1),'Blind Count Entry'!$B:$B,"&lt;="&amp;EOMONTH(TODAY(),0))&gt;0,"YES","NO"))</f>
        <v/>
      </c>
    </row>
    <row r="497">
      <c r="A497" s="8">
        <f>IF('Master Inventory'!A495="","",'Master Inventory'!A495)</f>
        <v/>
      </c>
      <c r="B497" s="8">
        <f>IF($A497="","",INDEX('Master Inventory'!$B:$B,MATCH($A497,'Master Inventory'!$A:$A,0)))</f>
        <v/>
      </c>
      <c r="C497" s="8">
        <f>IF($A497="","",IFERROR(INDEX('ABC Analysis'!$F:$F,MATCH($A497,'ABC Analysis'!$A:$A,0)),""))</f>
        <v/>
      </c>
      <c r="D497" s="8">
        <f>IF($C497="","",IF($C497="A",$K$1,IF($C497="B",$M$1,$O$1)))</f>
        <v/>
      </c>
      <c r="E497" s="12" t="n"/>
      <c r="F497" s="13">
        <f>IF(OR($A497="",$E497=""),"",$E497+$D497)</f>
        <v/>
      </c>
      <c r="G497" s="8">
        <f>IF($F497="","",IF($F497&lt;TODAY(),"OVERDUE","ON TRACK"))</f>
        <v/>
      </c>
      <c r="H497" s="8">
        <f>IF($A497="","",IF(COUNTIFS('Blind Count Entry'!$C:$C,$A497,'Blind Count Entry'!$B:$B,"&gt;="&amp;DATE(YEAR(TODAY()),MONTH(TODAY()),1),'Blind Count Entry'!$B:$B,"&lt;="&amp;EOMONTH(TODAY(),0))&gt;0,"YES","NO"))</f>
        <v/>
      </c>
    </row>
    <row r="498">
      <c r="A498" s="8">
        <f>IF('Master Inventory'!A496="","",'Master Inventory'!A496)</f>
        <v/>
      </c>
      <c r="B498" s="8">
        <f>IF($A498="","",INDEX('Master Inventory'!$B:$B,MATCH($A498,'Master Inventory'!$A:$A,0)))</f>
        <v/>
      </c>
      <c r="C498" s="8">
        <f>IF($A498="","",IFERROR(INDEX('ABC Analysis'!$F:$F,MATCH($A498,'ABC Analysis'!$A:$A,0)),""))</f>
        <v/>
      </c>
      <c r="D498" s="8">
        <f>IF($C498="","",IF($C498="A",$K$1,IF($C498="B",$M$1,$O$1)))</f>
        <v/>
      </c>
      <c r="E498" s="12" t="n"/>
      <c r="F498" s="13">
        <f>IF(OR($A498="",$E498=""),"",$E498+$D498)</f>
        <v/>
      </c>
      <c r="G498" s="8">
        <f>IF($F498="","",IF($F498&lt;TODAY(),"OVERDUE","ON TRACK"))</f>
        <v/>
      </c>
      <c r="H498" s="8">
        <f>IF($A498="","",IF(COUNTIFS('Blind Count Entry'!$C:$C,$A498,'Blind Count Entry'!$B:$B,"&gt;="&amp;DATE(YEAR(TODAY()),MONTH(TODAY()),1),'Blind Count Entry'!$B:$B,"&lt;="&amp;EOMONTH(TODAY(),0))&gt;0,"YES","NO"))</f>
        <v/>
      </c>
    </row>
    <row r="499">
      <c r="A499" s="8">
        <f>IF('Master Inventory'!A497="","",'Master Inventory'!A497)</f>
        <v/>
      </c>
      <c r="B499" s="8">
        <f>IF($A499="","",INDEX('Master Inventory'!$B:$B,MATCH($A499,'Master Inventory'!$A:$A,0)))</f>
        <v/>
      </c>
      <c r="C499" s="8">
        <f>IF($A499="","",IFERROR(INDEX('ABC Analysis'!$F:$F,MATCH($A499,'ABC Analysis'!$A:$A,0)),""))</f>
        <v/>
      </c>
      <c r="D499" s="8">
        <f>IF($C499="","",IF($C499="A",$K$1,IF($C499="B",$M$1,$O$1)))</f>
        <v/>
      </c>
      <c r="E499" s="12" t="n"/>
      <c r="F499" s="13">
        <f>IF(OR($A499="",$E499=""),"",$E499+$D499)</f>
        <v/>
      </c>
      <c r="G499" s="8">
        <f>IF($F499="","",IF($F499&lt;TODAY(),"OVERDUE","ON TRACK"))</f>
        <v/>
      </c>
      <c r="H499" s="8">
        <f>IF($A499="","",IF(COUNTIFS('Blind Count Entry'!$C:$C,$A499,'Blind Count Entry'!$B:$B,"&gt;="&amp;DATE(YEAR(TODAY()),MONTH(TODAY()),1),'Blind Count Entry'!$B:$B,"&lt;="&amp;EOMONTH(TODAY(),0))&gt;0,"YES","NO"))</f>
        <v/>
      </c>
    </row>
    <row r="500">
      <c r="A500" s="8">
        <f>IF('Master Inventory'!A498="","",'Master Inventory'!A498)</f>
        <v/>
      </c>
      <c r="B500" s="8">
        <f>IF($A500="","",INDEX('Master Inventory'!$B:$B,MATCH($A500,'Master Inventory'!$A:$A,0)))</f>
        <v/>
      </c>
      <c r="C500" s="8">
        <f>IF($A500="","",IFERROR(INDEX('ABC Analysis'!$F:$F,MATCH($A500,'ABC Analysis'!$A:$A,0)),""))</f>
        <v/>
      </c>
      <c r="D500" s="8">
        <f>IF($C500="","",IF($C500="A",$K$1,IF($C500="B",$M$1,$O$1)))</f>
        <v/>
      </c>
      <c r="E500" s="12" t="n"/>
      <c r="F500" s="13">
        <f>IF(OR($A500="",$E500=""),"",$E500+$D500)</f>
        <v/>
      </c>
      <c r="G500" s="8">
        <f>IF($F500="","",IF($F500&lt;TODAY(),"OVERDUE","ON TRACK"))</f>
        <v/>
      </c>
      <c r="H500" s="8">
        <f>IF($A500="","",IF(COUNTIFS('Blind Count Entry'!$C:$C,$A500,'Blind Count Entry'!$B:$B,"&gt;="&amp;DATE(YEAR(TODAY()),MONTH(TODAY()),1),'Blind Count Entry'!$B:$B,"&lt;="&amp;EOMONTH(TODAY(),0))&gt;0,"YES","NO"))</f>
        <v/>
      </c>
    </row>
    <row r="501">
      <c r="A501" s="8">
        <f>IF('Master Inventory'!A499="","",'Master Inventory'!A499)</f>
        <v/>
      </c>
      <c r="B501" s="8">
        <f>IF($A501="","",INDEX('Master Inventory'!$B:$B,MATCH($A501,'Master Inventory'!$A:$A,0)))</f>
        <v/>
      </c>
      <c r="C501" s="8">
        <f>IF($A501="","",IFERROR(INDEX('ABC Analysis'!$F:$F,MATCH($A501,'ABC Analysis'!$A:$A,0)),""))</f>
        <v/>
      </c>
      <c r="D501" s="8">
        <f>IF($C501="","",IF($C501="A",$K$1,IF($C501="B",$M$1,$O$1)))</f>
        <v/>
      </c>
      <c r="E501" s="12" t="n"/>
      <c r="F501" s="13">
        <f>IF(OR($A501="",$E501=""),"",$E501+$D501)</f>
        <v/>
      </c>
      <c r="G501" s="8">
        <f>IF($F501="","",IF($F501&lt;TODAY(),"OVERDUE","ON TRACK"))</f>
        <v/>
      </c>
      <c r="H501" s="8">
        <f>IF($A501="","",IF(COUNTIFS('Blind Count Entry'!$C:$C,$A501,'Blind Count Entry'!$B:$B,"&gt;="&amp;DATE(YEAR(TODAY()),MONTH(TODAY()),1),'Blind Count Entry'!$B:$B,"&lt;="&amp;EOMONTH(TODAY(),0))&gt;0,"YES","NO"))</f>
        <v/>
      </c>
    </row>
    <row r="502">
      <c r="A502" s="8">
        <f>IF('Master Inventory'!A500="","",'Master Inventory'!A500)</f>
        <v/>
      </c>
      <c r="B502" s="8">
        <f>IF($A502="","",INDEX('Master Inventory'!$B:$B,MATCH($A502,'Master Inventory'!$A:$A,0)))</f>
        <v/>
      </c>
      <c r="C502" s="8">
        <f>IF($A502="","",IFERROR(INDEX('ABC Analysis'!$F:$F,MATCH($A502,'ABC Analysis'!$A:$A,0)),""))</f>
        <v/>
      </c>
      <c r="D502" s="8">
        <f>IF($C502="","",IF($C502="A",$K$1,IF($C502="B",$M$1,$O$1)))</f>
        <v/>
      </c>
      <c r="E502" s="12" t="n"/>
      <c r="F502" s="13">
        <f>IF(OR($A502="",$E502=""),"",$E502+$D502)</f>
        <v/>
      </c>
      <c r="G502" s="8">
        <f>IF($F502="","",IF($F502&lt;TODAY(),"OVERDUE","ON TRACK"))</f>
        <v/>
      </c>
      <c r="H502" s="8">
        <f>IF($A502="","",IF(COUNTIFS('Blind Count Entry'!$C:$C,$A502,'Blind Count Entry'!$B:$B,"&gt;="&amp;DATE(YEAR(TODAY()),MONTH(TODAY()),1),'Blind Count Entry'!$B:$B,"&lt;="&amp;EOMONTH(TODAY(),0))&gt;0,"YES","NO"))</f>
        <v/>
      </c>
    </row>
    <row r="503">
      <c r="A503" s="8">
        <f>IF('Master Inventory'!A501="","",'Master Inventory'!A501)</f>
        <v/>
      </c>
      <c r="B503" s="8">
        <f>IF($A503="","",INDEX('Master Inventory'!$B:$B,MATCH($A503,'Master Inventory'!$A:$A,0)))</f>
        <v/>
      </c>
      <c r="C503" s="8">
        <f>IF($A503="","",IFERROR(INDEX('ABC Analysis'!$F:$F,MATCH($A503,'ABC Analysis'!$A:$A,0)),""))</f>
        <v/>
      </c>
      <c r="D503" s="8">
        <f>IF($C503="","",IF($C503="A",$K$1,IF($C503="B",$M$1,$O$1)))</f>
        <v/>
      </c>
      <c r="E503" s="12" t="n"/>
      <c r="F503" s="13">
        <f>IF(OR($A503="",$E503=""),"",$E503+$D503)</f>
        <v/>
      </c>
      <c r="G503" s="8">
        <f>IF($F503="","",IF($F503&lt;TODAY(),"OVERDUE","ON TRACK"))</f>
        <v/>
      </c>
      <c r="H503" s="8">
        <f>IF($A503="","",IF(COUNTIFS('Blind Count Entry'!$C:$C,$A503,'Blind Count Entry'!$B:$B,"&gt;="&amp;DATE(YEAR(TODAY()),MONTH(TODAY()),1),'Blind Count Entry'!$B:$B,"&lt;="&amp;EOMONTH(TODAY(),0))&gt;0,"YES","NO"))</f>
        <v/>
      </c>
    </row>
  </sheetData>
  <conditionalFormatting sqref="G4:G503">
    <cfRule type="cellIs" priority="1" operator="equal" dxfId="0">
      <formula>"OVERDUE"</formula>
    </cfRule>
    <cfRule type="cellIs" priority="2" operator="equal" dxfId="2">
      <formula>"ON TRACK"</formula>
    </cfRule>
  </conditionalFormatting>
  <conditionalFormatting sqref="C4:C503">
    <cfRule type="cellIs" priority="3" operator="equal" dxfId="0">
      <formula>"A"</formula>
    </cfRule>
    <cfRule type="cellIs" priority="4" operator="equal" dxfId="1">
      <formula>"B"</formula>
    </cfRule>
    <cfRule type="cellIs" priority="5" operator="equal" dxfId="2">
      <formula>"C"</formula>
    </cfRule>
  </conditionalFormatting>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1001"/>
  <sheetViews>
    <sheetView workbookViewId="0">
      <selection activeCell="A1" sqref="A1"/>
    </sheetView>
  </sheetViews>
  <sheetFormatPr baseColWidth="8" defaultRowHeight="15"/>
  <cols>
    <col width="10" customWidth="1" min="1" max="1"/>
    <col width="13" customWidth="1" min="2" max="2"/>
    <col width="11" customWidth="1" min="3" max="3"/>
    <col width="26" customWidth="1" min="4" max="4"/>
    <col width="10" customWidth="1" min="5" max="5"/>
    <col width="17" customWidth="1" min="6" max="6"/>
    <col width="13" customWidth="1" min="7" max="7"/>
  </cols>
  <sheetData>
    <row r="1">
      <c r="A1" s="4" t="inlineStr">
        <is>
          <t>Count ID</t>
        </is>
      </c>
      <c r="B1" s="4" t="inlineStr">
        <is>
          <t>Count Date</t>
        </is>
      </c>
      <c r="C1" s="4" t="inlineStr">
        <is>
          <t>Item ID</t>
        </is>
      </c>
      <c r="D1" s="4" t="inlineStr">
        <is>
          <t>Description</t>
        </is>
      </c>
      <c r="E1" s="4" t="inlineStr">
        <is>
          <t>Location</t>
        </is>
      </c>
      <c r="F1" s="4" t="inlineStr">
        <is>
          <t>Counted Quantity</t>
        </is>
      </c>
      <c r="G1" s="4" t="inlineStr">
        <is>
          <t>Counted By</t>
        </is>
      </c>
    </row>
    <row r="2">
      <c r="A2" s="5" t="inlineStr">
        <is>
          <t>CC-0001</t>
        </is>
      </c>
      <c r="B2" s="12" t="n">
        <v>46198</v>
      </c>
      <c r="C2" s="5" t="inlineStr">
        <is>
          <t>SKU-1007</t>
        </is>
      </c>
      <c r="D2" s="8">
        <f>IF($C2="","",IFERROR(INDEX('Master Inventory'!$B:$B,MATCH($C2,'Master Inventory'!$A:$A,0)),""))</f>
        <v/>
      </c>
      <c r="E2" s="8">
        <f>IF($C2="","",IFERROR(INDEX('Master Inventory'!$C:$C,MATCH($C2,'Master Inventory'!$A:$A,0)),""))</f>
        <v/>
      </c>
      <c r="F2" s="5" t="n">
        <v>309</v>
      </c>
      <c r="G2" s="5" t="inlineStr">
        <is>
          <t>J. Rivera</t>
        </is>
      </c>
    </row>
    <row r="3">
      <c r="A3" s="5" t="inlineStr">
        <is>
          <t>CC-0002</t>
        </is>
      </c>
      <c r="B3" s="12" t="n">
        <v>46211</v>
      </c>
      <c r="C3" s="5" t="inlineStr">
        <is>
          <t>SKU-1002</t>
        </is>
      </c>
      <c r="D3" s="8">
        <f>IF($C3="","",IFERROR(INDEX('Master Inventory'!$B:$B,MATCH($C3,'Master Inventory'!$A:$A,0)),""))</f>
        <v/>
      </c>
      <c r="E3" s="8">
        <f>IF($C3="","",IFERROR(INDEX('Master Inventory'!$C:$C,MATCH($C3,'Master Inventory'!$A:$A,0)),""))</f>
        <v/>
      </c>
      <c r="F3" s="5" t="n">
        <v>18</v>
      </c>
      <c r="G3" s="5" t="inlineStr">
        <is>
          <t>M. Chen</t>
        </is>
      </c>
    </row>
    <row r="4">
      <c r="A4" s="5" t="inlineStr">
        <is>
          <t>CC-0003</t>
        </is>
      </c>
      <c r="B4" s="12" t="n">
        <v>46211</v>
      </c>
      <c r="C4" s="5" t="inlineStr">
        <is>
          <t>SKU-1003</t>
        </is>
      </c>
      <c r="D4" s="8">
        <f>IF($C4="","",IFERROR(INDEX('Master Inventory'!$B:$B,MATCH($C4,'Master Inventory'!$A:$A,0)),""))</f>
        <v/>
      </c>
      <c r="E4" s="8">
        <f>IF($C4="","",IFERROR(INDEX('Master Inventory'!$C:$C,MATCH($C4,'Master Inventory'!$A:$A,0)),""))</f>
        <v/>
      </c>
      <c r="F4" s="5" t="n">
        <v>55</v>
      </c>
      <c r="G4" s="5" t="inlineStr">
        <is>
          <t>M. Chen</t>
        </is>
      </c>
    </row>
    <row r="5">
      <c r="A5" s="5" t="inlineStr">
        <is>
          <t>CC-0004</t>
        </is>
      </c>
      <c r="B5" s="12" t="n">
        <v>46213</v>
      </c>
      <c r="C5" s="5" t="inlineStr">
        <is>
          <t>SKU-1001</t>
        </is>
      </c>
      <c r="D5" s="8">
        <f>IF($C5="","",IFERROR(INDEX('Master Inventory'!$B:$B,MATCH($C5,'Master Inventory'!$A:$A,0)),""))</f>
        <v/>
      </c>
      <c r="E5" s="8">
        <f>IF($C5="","",IFERROR(INDEX('Master Inventory'!$C:$C,MATCH($C5,'Master Inventory'!$A:$A,0)),""))</f>
        <v/>
      </c>
      <c r="F5" s="5" t="n">
        <v>41</v>
      </c>
      <c r="G5" s="5" t="inlineStr">
        <is>
          <t>J. Rivera</t>
        </is>
      </c>
    </row>
    <row r="6">
      <c r="A6" s="5" t="inlineStr">
        <is>
          <t>CC-0005</t>
        </is>
      </c>
      <c r="B6" s="12" t="n">
        <v>46218</v>
      </c>
      <c r="C6" s="5" t="inlineStr">
        <is>
          <t>SKU-1004</t>
        </is>
      </c>
      <c r="D6" s="8">
        <f>IF($C6="","",IFERROR(INDEX('Master Inventory'!$B:$B,MATCH($C6,'Master Inventory'!$A:$A,0)),""))</f>
        <v/>
      </c>
      <c r="E6" s="8">
        <f>IF($C6="","",IFERROR(INDEX('Master Inventory'!$C:$C,MATCH($C6,'Master Inventory'!$A:$A,0)),""))</f>
        <v/>
      </c>
      <c r="F6" s="5" t="n">
        <v>13</v>
      </c>
      <c r="G6" s="5" t="inlineStr">
        <is>
          <t>M. Chen</t>
        </is>
      </c>
    </row>
    <row r="7">
      <c r="A7" s="5" t="inlineStr">
        <is>
          <t>CC-0006</t>
        </is>
      </c>
      <c r="B7" s="12" t="n">
        <v>46223</v>
      </c>
      <c r="C7" s="5" t="inlineStr">
        <is>
          <t>SKU-1007</t>
        </is>
      </c>
      <c r="D7" s="8">
        <f>IF($C7="","",IFERROR(INDEX('Master Inventory'!$B:$B,MATCH($C7,'Master Inventory'!$A:$A,0)),""))</f>
        <v/>
      </c>
      <c r="E7" s="8">
        <f>IF($C7="","",IFERROR(INDEX('Master Inventory'!$C:$C,MATCH($C7,'Master Inventory'!$A:$A,0)),""))</f>
        <v/>
      </c>
      <c r="F7" s="5" t="n">
        <v>306</v>
      </c>
      <c r="G7" s="5" t="inlineStr">
        <is>
          <t>J. Rivera</t>
        </is>
      </c>
    </row>
    <row r="8">
      <c r="A8" s="5" t="inlineStr">
        <is>
          <t>CC-0007</t>
        </is>
      </c>
      <c r="B8" s="12" t="n">
        <v>46225</v>
      </c>
      <c r="C8" s="5" t="inlineStr">
        <is>
          <t>SKU-1019</t>
        </is>
      </c>
      <c r="D8" s="8">
        <f>IF($C8="","",IFERROR(INDEX('Master Inventory'!$B:$B,MATCH($C8,'Master Inventory'!$A:$A,0)),""))</f>
        <v/>
      </c>
      <c r="E8" s="8">
        <f>IF($C8="","",IFERROR(INDEX('Master Inventory'!$C:$C,MATCH($C8,'Master Inventory'!$A:$A,0)),""))</f>
        <v/>
      </c>
      <c r="F8" s="5" t="n">
        <v>0</v>
      </c>
      <c r="G8" s="5" t="inlineStr">
        <is>
          <t>M. Chen</t>
        </is>
      </c>
    </row>
    <row r="9">
      <c r="A9" s="5" t="inlineStr">
        <is>
          <t>CC-0008</t>
        </is>
      </c>
      <c r="B9" s="12" t="n">
        <v>46225</v>
      </c>
      <c r="C9" s="5" t="inlineStr">
        <is>
          <t>SKU-1020</t>
        </is>
      </c>
      <c r="D9" s="8">
        <f>IF($C9="","",IFERROR(INDEX('Master Inventory'!$B:$B,MATCH($C9,'Master Inventory'!$A:$A,0)),""))</f>
        <v/>
      </c>
      <c r="E9" s="8">
        <f>IF($C9="","",IFERROR(INDEX('Master Inventory'!$C:$C,MATCH($C9,'Master Inventory'!$A:$A,0)),""))</f>
        <v/>
      </c>
      <c r="F9" s="5" t="n">
        <v>2</v>
      </c>
      <c r="G9" s="5" t="inlineStr">
        <is>
          <t>M. Chen</t>
        </is>
      </c>
    </row>
    <row r="10">
      <c r="A10" s="5" t="n"/>
      <c r="B10" s="12" t="n"/>
      <c r="C10" s="5" t="n"/>
      <c r="D10" s="8">
        <f>IF($C10="","",IFERROR(INDEX('Master Inventory'!$B:$B,MATCH($C10,'Master Inventory'!$A:$A,0)),""))</f>
        <v/>
      </c>
      <c r="E10" s="8">
        <f>IF($C10="","",IFERROR(INDEX('Master Inventory'!$C:$C,MATCH($C10,'Master Inventory'!$A:$A,0)),""))</f>
        <v/>
      </c>
      <c r="F10" s="5" t="n"/>
      <c r="G10" s="5" t="n"/>
    </row>
    <row r="11">
      <c r="A11" s="5" t="n"/>
      <c r="B11" s="12" t="n"/>
      <c r="C11" s="5" t="n"/>
      <c r="D11" s="8">
        <f>IF($C11="","",IFERROR(INDEX('Master Inventory'!$B:$B,MATCH($C11,'Master Inventory'!$A:$A,0)),""))</f>
        <v/>
      </c>
      <c r="E11" s="8">
        <f>IF($C11="","",IFERROR(INDEX('Master Inventory'!$C:$C,MATCH($C11,'Master Inventory'!$A:$A,0)),""))</f>
        <v/>
      </c>
      <c r="F11" s="5" t="n"/>
      <c r="G11" s="5" t="n"/>
    </row>
    <row r="12">
      <c r="A12" s="5" t="n"/>
      <c r="B12" s="12" t="n"/>
      <c r="C12" s="5" t="n"/>
      <c r="D12" s="8">
        <f>IF($C12="","",IFERROR(INDEX('Master Inventory'!$B:$B,MATCH($C12,'Master Inventory'!$A:$A,0)),""))</f>
        <v/>
      </c>
      <c r="E12" s="8">
        <f>IF($C12="","",IFERROR(INDEX('Master Inventory'!$C:$C,MATCH($C12,'Master Inventory'!$A:$A,0)),""))</f>
        <v/>
      </c>
      <c r="F12" s="5" t="n"/>
      <c r="G12" s="5" t="n"/>
    </row>
    <row r="13">
      <c r="A13" s="5" t="n"/>
      <c r="B13" s="12" t="n"/>
      <c r="C13" s="5" t="n"/>
      <c r="D13" s="8">
        <f>IF($C13="","",IFERROR(INDEX('Master Inventory'!$B:$B,MATCH($C13,'Master Inventory'!$A:$A,0)),""))</f>
        <v/>
      </c>
      <c r="E13" s="8">
        <f>IF($C13="","",IFERROR(INDEX('Master Inventory'!$C:$C,MATCH($C13,'Master Inventory'!$A:$A,0)),""))</f>
        <v/>
      </c>
      <c r="F13" s="5" t="n"/>
      <c r="G13" s="5" t="n"/>
    </row>
    <row r="14">
      <c r="A14" s="5" t="n"/>
      <c r="B14" s="12" t="n"/>
      <c r="C14" s="5" t="n"/>
      <c r="D14" s="8">
        <f>IF($C14="","",IFERROR(INDEX('Master Inventory'!$B:$B,MATCH($C14,'Master Inventory'!$A:$A,0)),""))</f>
        <v/>
      </c>
      <c r="E14" s="8">
        <f>IF($C14="","",IFERROR(INDEX('Master Inventory'!$C:$C,MATCH($C14,'Master Inventory'!$A:$A,0)),""))</f>
        <v/>
      </c>
      <c r="F14" s="5" t="n"/>
      <c r="G14" s="5" t="n"/>
    </row>
    <row r="15">
      <c r="A15" s="5" t="n"/>
      <c r="B15" s="12" t="n"/>
      <c r="C15" s="5" t="n"/>
      <c r="D15" s="8">
        <f>IF($C15="","",IFERROR(INDEX('Master Inventory'!$B:$B,MATCH($C15,'Master Inventory'!$A:$A,0)),""))</f>
        <v/>
      </c>
      <c r="E15" s="8">
        <f>IF($C15="","",IFERROR(INDEX('Master Inventory'!$C:$C,MATCH($C15,'Master Inventory'!$A:$A,0)),""))</f>
        <v/>
      </c>
      <c r="F15" s="5" t="n"/>
      <c r="G15" s="5" t="n"/>
    </row>
    <row r="16">
      <c r="A16" s="5" t="n"/>
      <c r="B16" s="12" t="n"/>
      <c r="C16" s="5" t="n"/>
      <c r="D16" s="8">
        <f>IF($C16="","",IFERROR(INDEX('Master Inventory'!$B:$B,MATCH($C16,'Master Inventory'!$A:$A,0)),""))</f>
        <v/>
      </c>
      <c r="E16" s="8">
        <f>IF($C16="","",IFERROR(INDEX('Master Inventory'!$C:$C,MATCH($C16,'Master Inventory'!$A:$A,0)),""))</f>
        <v/>
      </c>
      <c r="F16" s="5" t="n"/>
      <c r="G16" s="5" t="n"/>
    </row>
    <row r="17">
      <c r="A17" s="5" t="n"/>
      <c r="B17" s="12" t="n"/>
      <c r="C17" s="5" t="n"/>
      <c r="D17" s="8">
        <f>IF($C17="","",IFERROR(INDEX('Master Inventory'!$B:$B,MATCH($C17,'Master Inventory'!$A:$A,0)),""))</f>
        <v/>
      </c>
      <c r="E17" s="8">
        <f>IF($C17="","",IFERROR(INDEX('Master Inventory'!$C:$C,MATCH($C17,'Master Inventory'!$A:$A,0)),""))</f>
        <v/>
      </c>
      <c r="F17" s="5" t="n"/>
      <c r="G17" s="5" t="n"/>
    </row>
    <row r="18">
      <c r="A18" s="5" t="n"/>
      <c r="B18" s="12" t="n"/>
      <c r="C18" s="5" t="n"/>
      <c r="D18" s="8">
        <f>IF($C18="","",IFERROR(INDEX('Master Inventory'!$B:$B,MATCH($C18,'Master Inventory'!$A:$A,0)),""))</f>
        <v/>
      </c>
      <c r="E18" s="8">
        <f>IF($C18="","",IFERROR(INDEX('Master Inventory'!$C:$C,MATCH($C18,'Master Inventory'!$A:$A,0)),""))</f>
        <v/>
      </c>
      <c r="F18" s="5" t="n"/>
      <c r="G18" s="5" t="n"/>
    </row>
    <row r="19">
      <c r="A19" s="5" t="n"/>
      <c r="B19" s="12" t="n"/>
      <c r="C19" s="5" t="n"/>
      <c r="D19" s="8">
        <f>IF($C19="","",IFERROR(INDEX('Master Inventory'!$B:$B,MATCH($C19,'Master Inventory'!$A:$A,0)),""))</f>
        <v/>
      </c>
      <c r="E19" s="8">
        <f>IF($C19="","",IFERROR(INDEX('Master Inventory'!$C:$C,MATCH($C19,'Master Inventory'!$A:$A,0)),""))</f>
        <v/>
      </c>
      <c r="F19" s="5" t="n"/>
      <c r="G19" s="5" t="n"/>
    </row>
    <row r="20">
      <c r="A20" s="5" t="n"/>
      <c r="B20" s="12" t="n"/>
      <c r="C20" s="5" t="n"/>
      <c r="D20" s="8">
        <f>IF($C20="","",IFERROR(INDEX('Master Inventory'!$B:$B,MATCH($C20,'Master Inventory'!$A:$A,0)),""))</f>
        <v/>
      </c>
      <c r="E20" s="8">
        <f>IF($C20="","",IFERROR(INDEX('Master Inventory'!$C:$C,MATCH($C20,'Master Inventory'!$A:$A,0)),""))</f>
        <v/>
      </c>
      <c r="F20" s="5" t="n"/>
      <c r="G20" s="5" t="n"/>
    </row>
    <row r="21">
      <c r="A21" s="5" t="n"/>
      <c r="B21" s="12" t="n"/>
      <c r="C21" s="5" t="n"/>
      <c r="D21" s="8">
        <f>IF($C21="","",IFERROR(INDEX('Master Inventory'!$B:$B,MATCH($C21,'Master Inventory'!$A:$A,0)),""))</f>
        <v/>
      </c>
      <c r="E21" s="8">
        <f>IF($C21="","",IFERROR(INDEX('Master Inventory'!$C:$C,MATCH($C21,'Master Inventory'!$A:$A,0)),""))</f>
        <v/>
      </c>
      <c r="F21" s="5" t="n"/>
      <c r="G21" s="5" t="n"/>
    </row>
    <row r="22">
      <c r="A22" s="5" t="n"/>
      <c r="B22" s="12" t="n"/>
      <c r="C22" s="5" t="n"/>
      <c r="D22" s="8">
        <f>IF($C22="","",IFERROR(INDEX('Master Inventory'!$B:$B,MATCH($C22,'Master Inventory'!$A:$A,0)),""))</f>
        <v/>
      </c>
      <c r="E22" s="8">
        <f>IF($C22="","",IFERROR(INDEX('Master Inventory'!$C:$C,MATCH($C22,'Master Inventory'!$A:$A,0)),""))</f>
        <v/>
      </c>
      <c r="F22" s="5" t="n"/>
      <c r="G22" s="5" t="n"/>
    </row>
    <row r="23">
      <c r="A23" s="5" t="n"/>
      <c r="B23" s="12" t="n"/>
      <c r="C23" s="5" t="n"/>
      <c r="D23" s="8">
        <f>IF($C23="","",IFERROR(INDEX('Master Inventory'!$B:$B,MATCH($C23,'Master Inventory'!$A:$A,0)),""))</f>
        <v/>
      </c>
      <c r="E23" s="8">
        <f>IF($C23="","",IFERROR(INDEX('Master Inventory'!$C:$C,MATCH($C23,'Master Inventory'!$A:$A,0)),""))</f>
        <v/>
      </c>
      <c r="F23" s="5" t="n"/>
      <c r="G23" s="5" t="n"/>
    </row>
    <row r="24">
      <c r="A24" s="5" t="n"/>
      <c r="B24" s="12" t="n"/>
      <c r="C24" s="5" t="n"/>
      <c r="D24" s="8">
        <f>IF($C24="","",IFERROR(INDEX('Master Inventory'!$B:$B,MATCH($C24,'Master Inventory'!$A:$A,0)),""))</f>
        <v/>
      </c>
      <c r="E24" s="8">
        <f>IF($C24="","",IFERROR(INDEX('Master Inventory'!$C:$C,MATCH($C24,'Master Inventory'!$A:$A,0)),""))</f>
        <v/>
      </c>
      <c r="F24" s="5" t="n"/>
      <c r="G24" s="5" t="n"/>
    </row>
    <row r="25">
      <c r="A25" s="5" t="n"/>
      <c r="B25" s="12" t="n"/>
      <c r="C25" s="5" t="n"/>
      <c r="D25" s="8">
        <f>IF($C25="","",IFERROR(INDEX('Master Inventory'!$B:$B,MATCH($C25,'Master Inventory'!$A:$A,0)),""))</f>
        <v/>
      </c>
      <c r="E25" s="8">
        <f>IF($C25="","",IFERROR(INDEX('Master Inventory'!$C:$C,MATCH($C25,'Master Inventory'!$A:$A,0)),""))</f>
        <v/>
      </c>
      <c r="F25" s="5" t="n"/>
      <c r="G25" s="5" t="n"/>
    </row>
    <row r="26">
      <c r="A26" s="5" t="n"/>
      <c r="B26" s="12" t="n"/>
      <c r="C26" s="5" t="n"/>
      <c r="D26" s="8">
        <f>IF($C26="","",IFERROR(INDEX('Master Inventory'!$B:$B,MATCH($C26,'Master Inventory'!$A:$A,0)),""))</f>
        <v/>
      </c>
      <c r="E26" s="8">
        <f>IF($C26="","",IFERROR(INDEX('Master Inventory'!$C:$C,MATCH($C26,'Master Inventory'!$A:$A,0)),""))</f>
        <v/>
      </c>
      <c r="F26" s="5" t="n"/>
      <c r="G26" s="5" t="n"/>
    </row>
    <row r="27">
      <c r="A27" s="5" t="n"/>
      <c r="B27" s="12" t="n"/>
      <c r="C27" s="5" t="n"/>
      <c r="D27" s="8">
        <f>IF($C27="","",IFERROR(INDEX('Master Inventory'!$B:$B,MATCH($C27,'Master Inventory'!$A:$A,0)),""))</f>
        <v/>
      </c>
      <c r="E27" s="8">
        <f>IF($C27="","",IFERROR(INDEX('Master Inventory'!$C:$C,MATCH($C27,'Master Inventory'!$A:$A,0)),""))</f>
        <v/>
      </c>
      <c r="F27" s="5" t="n"/>
      <c r="G27" s="5" t="n"/>
    </row>
    <row r="28">
      <c r="A28" s="5" t="n"/>
      <c r="B28" s="12" t="n"/>
      <c r="C28" s="5" t="n"/>
      <c r="D28" s="8">
        <f>IF($C28="","",IFERROR(INDEX('Master Inventory'!$B:$B,MATCH($C28,'Master Inventory'!$A:$A,0)),""))</f>
        <v/>
      </c>
      <c r="E28" s="8">
        <f>IF($C28="","",IFERROR(INDEX('Master Inventory'!$C:$C,MATCH($C28,'Master Inventory'!$A:$A,0)),""))</f>
        <v/>
      </c>
      <c r="F28" s="5" t="n"/>
      <c r="G28" s="5" t="n"/>
    </row>
    <row r="29">
      <c r="A29" s="5" t="n"/>
      <c r="B29" s="12" t="n"/>
      <c r="C29" s="5" t="n"/>
      <c r="D29" s="8">
        <f>IF($C29="","",IFERROR(INDEX('Master Inventory'!$B:$B,MATCH($C29,'Master Inventory'!$A:$A,0)),""))</f>
        <v/>
      </c>
      <c r="E29" s="8">
        <f>IF($C29="","",IFERROR(INDEX('Master Inventory'!$C:$C,MATCH($C29,'Master Inventory'!$A:$A,0)),""))</f>
        <v/>
      </c>
      <c r="F29" s="5" t="n"/>
      <c r="G29" s="5" t="n"/>
    </row>
    <row r="30">
      <c r="A30" s="5" t="n"/>
      <c r="B30" s="12" t="n"/>
      <c r="C30" s="5" t="n"/>
      <c r="D30" s="8">
        <f>IF($C30="","",IFERROR(INDEX('Master Inventory'!$B:$B,MATCH($C30,'Master Inventory'!$A:$A,0)),""))</f>
        <v/>
      </c>
      <c r="E30" s="8">
        <f>IF($C30="","",IFERROR(INDEX('Master Inventory'!$C:$C,MATCH($C30,'Master Inventory'!$A:$A,0)),""))</f>
        <v/>
      </c>
      <c r="F30" s="5" t="n"/>
      <c r="G30" s="5" t="n"/>
    </row>
    <row r="31">
      <c r="A31" s="5" t="n"/>
      <c r="B31" s="12" t="n"/>
      <c r="C31" s="5" t="n"/>
      <c r="D31" s="8">
        <f>IF($C31="","",IFERROR(INDEX('Master Inventory'!$B:$B,MATCH($C31,'Master Inventory'!$A:$A,0)),""))</f>
        <v/>
      </c>
      <c r="E31" s="8">
        <f>IF($C31="","",IFERROR(INDEX('Master Inventory'!$C:$C,MATCH($C31,'Master Inventory'!$A:$A,0)),""))</f>
        <v/>
      </c>
      <c r="F31" s="5" t="n"/>
      <c r="G31" s="5" t="n"/>
    </row>
    <row r="32">
      <c r="A32" s="5" t="n"/>
      <c r="B32" s="12" t="n"/>
      <c r="C32" s="5" t="n"/>
      <c r="D32" s="8">
        <f>IF($C32="","",IFERROR(INDEX('Master Inventory'!$B:$B,MATCH($C32,'Master Inventory'!$A:$A,0)),""))</f>
        <v/>
      </c>
      <c r="E32" s="8">
        <f>IF($C32="","",IFERROR(INDEX('Master Inventory'!$C:$C,MATCH($C32,'Master Inventory'!$A:$A,0)),""))</f>
        <v/>
      </c>
      <c r="F32" s="5" t="n"/>
      <c r="G32" s="5" t="n"/>
    </row>
    <row r="33">
      <c r="A33" s="5" t="n"/>
      <c r="B33" s="12" t="n"/>
      <c r="C33" s="5" t="n"/>
      <c r="D33" s="8">
        <f>IF($C33="","",IFERROR(INDEX('Master Inventory'!$B:$B,MATCH($C33,'Master Inventory'!$A:$A,0)),""))</f>
        <v/>
      </c>
      <c r="E33" s="8">
        <f>IF($C33="","",IFERROR(INDEX('Master Inventory'!$C:$C,MATCH($C33,'Master Inventory'!$A:$A,0)),""))</f>
        <v/>
      </c>
      <c r="F33" s="5" t="n"/>
      <c r="G33" s="5" t="n"/>
    </row>
    <row r="34">
      <c r="A34" s="5" t="n"/>
      <c r="B34" s="12" t="n"/>
      <c r="C34" s="5" t="n"/>
      <c r="D34" s="8">
        <f>IF($C34="","",IFERROR(INDEX('Master Inventory'!$B:$B,MATCH($C34,'Master Inventory'!$A:$A,0)),""))</f>
        <v/>
      </c>
      <c r="E34" s="8">
        <f>IF($C34="","",IFERROR(INDEX('Master Inventory'!$C:$C,MATCH($C34,'Master Inventory'!$A:$A,0)),""))</f>
        <v/>
      </c>
      <c r="F34" s="5" t="n"/>
      <c r="G34" s="5" t="n"/>
    </row>
    <row r="35">
      <c r="A35" s="5" t="n"/>
      <c r="B35" s="12" t="n"/>
      <c r="C35" s="5" t="n"/>
      <c r="D35" s="8">
        <f>IF($C35="","",IFERROR(INDEX('Master Inventory'!$B:$B,MATCH($C35,'Master Inventory'!$A:$A,0)),""))</f>
        <v/>
      </c>
      <c r="E35" s="8">
        <f>IF($C35="","",IFERROR(INDEX('Master Inventory'!$C:$C,MATCH($C35,'Master Inventory'!$A:$A,0)),""))</f>
        <v/>
      </c>
      <c r="F35" s="5" t="n"/>
      <c r="G35" s="5" t="n"/>
    </row>
    <row r="36">
      <c r="A36" s="5" t="n"/>
      <c r="B36" s="12" t="n"/>
      <c r="C36" s="5" t="n"/>
      <c r="D36" s="8">
        <f>IF($C36="","",IFERROR(INDEX('Master Inventory'!$B:$B,MATCH($C36,'Master Inventory'!$A:$A,0)),""))</f>
        <v/>
      </c>
      <c r="E36" s="8">
        <f>IF($C36="","",IFERROR(INDEX('Master Inventory'!$C:$C,MATCH($C36,'Master Inventory'!$A:$A,0)),""))</f>
        <v/>
      </c>
      <c r="F36" s="5" t="n"/>
      <c r="G36" s="5" t="n"/>
    </row>
    <row r="37">
      <c r="A37" s="5" t="n"/>
      <c r="B37" s="12" t="n"/>
      <c r="C37" s="5" t="n"/>
      <c r="D37" s="8">
        <f>IF($C37="","",IFERROR(INDEX('Master Inventory'!$B:$B,MATCH($C37,'Master Inventory'!$A:$A,0)),""))</f>
        <v/>
      </c>
      <c r="E37" s="8">
        <f>IF($C37="","",IFERROR(INDEX('Master Inventory'!$C:$C,MATCH($C37,'Master Inventory'!$A:$A,0)),""))</f>
        <v/>
      </c>
      <c r="F37" s="5" t="n"/>
      <c r="G37" s="5" t="n"/>
    </row>
    <row r="38">
      <c r="A38" s="5" t="n"/>
      <c r="B38" s="12" t="n"/>
      <c r="C38" s="5" t="n"/>
      <c r="D38" s="8">
        <f>IF($C38="","",IFERROR(INDEX('Master Inventory'!$B:$B,MATCH($C38,'Master Inventory'!$A:$A,0)),""))</f>
        <v/>
      </c>
      <c r="E38" s="8">
        <f>IF($C38="","",IFERROR(INDEX('Master Inventory'!$C:$C,MATCH($C38,'Master Inventory'!$A:$A,0)),""))</f>
        <v/>
      </c>
      <c r="F38" s="5" t="n"/>
      <c r="G38" s="5" t="n"/>
    </row>
    <row r="39">
      <c r="A39" s="5" t="n"/>
      <c r="B39" s="12" t="n"/>
      <c r="C39" s="5" t="n"/>
      <c r="D39" s="8">
        <f>IF($C39="","",IFERROR(INDEX('Master Inventory'!$B:$B,MATCH($C39,'Master Inventory'!$A:$A,0)),""))</f>
        <v/>
      </c>
      <c r="E39" s="8">
        <f>IF($C39="","",IFERROR(INDEX('Master Inventory'!$C:$C,MATCH($C39,'Master Inventory'!$A:$A,0)),""))</f>
        <v/>
      </c>
      <c r="F39" s="5" t="n"/>
      <c r="G39" s="5" t="n"/>
    </row>
    <row r="40">
      <c r="A40" s="5" t="n"/>
      <c r="B40" s="12" t="n"/>
      <c r="C40" s="5" t="n"/>
      <c r="D40" s="8">
        <f>IF($C40="","",IFERROR(INDEX('Master Inventory'!$B:$B,MATCH($C40,'Master Inventory'!$A:$A,0)),""))</f>
        <v/>
      </c>
      <c r="E40" s="8">
        <f>IF($C40="","",IFERROR(INDEX('Master Inventory'!$C:$C,MATCH($C40,'Master Inventory'!$A:$A,0)),""))</f>
        <v/>
      </c>
      <c r="F40" s="5" t="n"/>
      <c r="G40" s="5" t="n"/>
    </row>
    <row r="41">
      <c r="A41" s="5" t="n"/>
      <c r="B41" s="12" t="n"/>
      <c r="C41" s="5" t="n"/>
      <c r="D41" s="8">
        <f>IF($C41="","",IFERROR(INDEX('Master Inventory'!$B:$B,MATCH($C41,'Master Inventory'!$A:$A,0)),""))</f>
        <v/>
      </c>
      <c r="E41" s="8">
        <f>IF($C41="","",IFERROR(INDEX('Master Inventory'!$C:$C,MATCH($C41,'Master Inventory'!$A:$A,0)),""))</f>
        <v/>
      </c>
      <c r="F41" s="5" t="n"/>
      <c r="G41" s="5" t="n"/>
    </row>
    <row r="42">
      <c r="A42" s="5" t="n"/>
      <c r="B42" s="12" t="n"/>
      <c r="C42" s="5" t="n"/>
      <c r="D42" s="8">
        <f>IF($C42="","",IFERROR(INDEX('Master Inventory'!$B:$B,MATCH($C42,'Master Inventory'!$A:$A,0)),""))</f>
        <v/>
      </c>
      <c r="E42" s="8">
        <f>IF($C42="","",IFERROR(INDEX('Master Inventory'!$C:$C,MATCH($C42,'Master Inventory'!$A:$A,0)),""))</f>
        <v/>
      </c>
      <c r="F42" s="5" t="n"/>
      <c r="G42" s="5" t="n"/>
    </row>
    <row r="43">
      <c r="A43" s="5" t="n"/>
      <c r="B43" s="12" t="n"/>
      <c r="C43" s="5" t="n"/>
      <c r="D43" s="8">
        <f>IF($C43="","",IFERROR(INDEX('Master Inventory'!$B:$B,MATCH($C43,'Master Inventory'!$A:$A,0)),""))</f>
        <v/>
      </c>
      <c r="E43" s="8">
        <f>IF($C43="","",IFERROR(INDEX('Master Inventory'!$C:$C,MATCH($C43,'Master Inventory'!$A:$A,0)),""))</f>
        <v/>
      </c>
      <c r="F43" s="5" t="n"/>
      <c r="G43" s="5" t="n"/>
    </row>
    <row r="44">
      <c r="A44" s="5" t="n"/>
      <c r="B44" s="12" t="n"/>
      <c r="C44" s="5" t="n"/>
      <c r="D44" s="8">
        <f>IF($C44="","",IFERROR(INDEX('Master Inventory'!$B:$B,MATCH($C44,'Master Inventory'!$A:$A,0)),""))</f>
        <v/>
      </c>
      <c r="E44" s="8">
        <f>IF($C44="","",IFERROR(INDEX('Master Inventory'!$C:$C,MATCH($C44,'Master Inventory'!$A:$A,0)),""))</f>
        <v/>
      </c>
      <c r="F44" s="5" t="n"/>
      <c r="G44" s="5" t="n"/>
    </row>
    <row r="45">
      <c r="A45" s="5" t="n"/>
      <c r="B45" s="12" t="n"/>
      <c r="C45" s="5" t="n"/>
      <c r="D45" s="8">
        <f>IF($C45="","",IFERROR(INDEX('Master Inventory'!$B:$B,MATCH($C45,'Master Inventory'!$A:$A,0)),""))</f>
        <v/>
      </c>
      <c r="E45" s="8">
        <f>IF($C45="","",IFERROR(INDEX('Master Inventory'!$C:$C,MATCH($C45,'Master Inventory'!$A:$A,0)),""))</f>
        <v/>
      </c>
      <c r="F45" s="5" t="n"/>
      <c r="G45" s="5" t="n"/>
    </row>
    <row r="46">
      <c r="A46" s="5" t="n"/>
      <c r="B46" s="12" t="n"/>
      <c r="C46" s="5" t="n"/>
      <c r="D46" s="8">
        <f>IF($C46="","",IFERROR(INDEX('Master Inventory'!$B:$B,MATCH($C46,'Master Inventory'!$A:$A,0)),""))</f>
        <v/>
      </c>
      <c r="E46" s="8">
        <f>IF($C46="","",IFERROR(INDEX('Master Inventory'!$C:$C,MATCH($C46,'Master Inventory'!$A:$A,0)),""))</f>
        <v/>
      </c>
      <c r="F46" s="5" t="n"/>
      <c r="G46" s="5" t="n"/>
    </row>
    <row r="47">
      <c r="A47" s="5" t="n"/>
      <c r="B47" s="12" t="n"/>
      <c r="C47" s="5" t="n"/>
      <c r="D47" s="8">
        <f>IF($C47="","",IFERROR(INDEX('Master Inventory'!$B:$B,MATCH($C47,'Master Inventory'!$A:$A,0)),""))</f>
        <v/>
      </c>
      <c r="E47" s="8">
        <f>IF($C47="","",IFERROR(INDEX('Master Inventory'!$C:$C,MATCH($C47,'Master Inventory'!$A:$A,0)),""))</f>
        <v/>
      </c>
      <c r="F47" s="5" t="n"/>
      <c r="G47" s="5" t="n"/>
    </row>
    <row r="48">
      <c r="A48" s="5" t="n"/>
      <c r="B48" s="12" t="n"/>
      <c r="C48" s="5" t="n"/>
      <c r="D48" s="8">
        <f>IF($C48="","",IFERROR(INDEX('Master Inventory'!$B:$B,MATCH($C48,'Master Inventory'!$A:$A,0)),""))</f>
        <v/>
      </c>
      <c r="E48" s="8">
        <f>IF($C48="","",IFERROR(INDEX('Master Inventory'!$C:$C,MATCH($C48,'Master Inventory'!$A:$A,0)),""))</f>
        <v/>
      </c>
      <c r="F48" s="5" t="n"/>
      <c r="G48" s="5" t="n"/>
    </row>
    <row r="49">
      <c r="A49" s="5" t="n"/>
      <c r="B49" s="12" t="n"/>
      <c r="C49" s="5" t="n"/>
      <c r="D49" s="8">
        <f>IF($C49="","",IFERROR(INDEX('Master Inventory'!$B:$B,MATCH($C49,'Master Inventory'!$A:$A,0)),""))</f>
        <v/>
      </c>
      <c r="E49" s="8">
        <f>IF($C49="","",IFERROR(INDEX('Master Inventory'!$C:$C,MATCH($C49,'Master Inventory'!$A:$A,0)),""))</f>
        <v/>
      </c>
      <c r="F49" s="5" t="n"/>
      <c r="G49" s="5" t="n"/>
    </row>
    <row r="50">
      <c r="A50" s="5" t="n"/>
      <c r="B50" s="12" t="n"/>
      <c r="C50" s="5" t="n"/>
      <c r="D50" s="8">
        <f>IF($C50="","",IFERROR(INDEX('Master Inventory'!$B:$B,MATCH($C50,'Master Inventory'!$A:$A,0)),""))</f>
        <v/>
      </c>
      <c r="E50" s="8">
        <f>IF($C50="","",IFERROR(INDEX('Master Inventory'!$C:$C,MATCH($C50,'Master Inventory'!$A:$A,0)),""))</f>
        <v/>
      </c>
      <c r="F50" s="5" t="n"/>
      <c r="G50" s="5" t="n"/>
    </row>
    <row r="51">
      <c r="A51" s="5" t="n"/>
      <c r="B51" s="12" t="n"/>
      <c r="C51" s="5" t="n"/>
      <c r="D51" s="8">
        <f>IF($C51="","",IFERROR(INDEX('Master Inventory'!$B:$B,MATCH($C51,'Master Inventory'!$A:$A,0)),""))</f>
        <v/>
      </c>
      <c r="E51" s="8">
        <f>IF($C51="","",IFERROR(INDEX('Master Inventory'!$C:$C,MATCH($C51,'Master Inventory'!$A:$A,0)),""))</f>
        <v/>
      </c>
      <c r="F51" s="5" t="n"/>
      <c r="G51" s="5" t="n"/>
    </row>
    <row r="52">
      <c r="A52" s="5" t="n"/>
      <c r="B52" s="12" t="n"/>
      <c r="C52" s="5" t="n"/>
      <c r="D52" s="8">
        <f>IF($C52="","",IFERROR(INDEX('Master Inventory'!$B:$B,MATCH($C52,'Master Inventory'!$A:$A,0)),""))</f>
        <v/>
      </c>
      <c r="E52" s="8">
        <f>IF($C52="","",IFERROR(INDEX('Master Inventory'!$C:$C,MATCH($C52,'Master Inventory'!$A:$A,0)),""))</f>
        <v/>
      </c>
      <c r="F52" s="5" t="n"/>
      <c r="G52" s="5" t="n"/>
    </row>
    <row r="53">
      <c r="A53" s="5" t="n"/>
      <c r="B53" s="12" t="n"/>
      <c r="C53" s="5" t="n"/>
      <c r="D53" s="8">
        <f>IF($C53="","",IFERROR(INDEX('Master Inventory'!$B:$B,MATCH($C53,'Master Inventory'!$A:$A,0)),""))</f>
        <v/>
      </c>
      <c r="E53" s="8">
        <f>IF($C53="","",IFERROR(INDEX('Master Inventory'!$C:$C,MATCH($C53,'Master Inventory'!$A:$A,0)),""))</f>
        <v/>
      </c>
      <c r="F53" s="5" t="n"/>
      <c r="G53" s="5" t="n"/>
    </row>
    <row r="54">
      <c r="A54" s="5" t="n"/>
      <c r="B54" s="12" t="n"/>
      <c r="C54" s="5" t="n"/>
      <c r="D54" s="8">
        <f>IF($C54="","",IFERROR(INDEX('Master Inventory'!$B:$B,MATCH($C54,'Master Inventory'!$A:$A,0)),""))</f>
        <v/>
      </c>
      <c r="E54" s="8">
        <f>IF($C54="","",IFERROR(INDEX('Master Inventory'!$C:$C,MATCH($C54,'Master Inventory'!$A:$A,0)),""))</f>
        <v/>
      </c>
      <c r="F54" s="5" t="n"/>
      <c r="G54" s="5" t="n"/>
    </row>
    <row r="55">
      <c r="A55" s="5" t="n"/>
      <c r="B55" s="12" t="n"/>
      <c r="C55" s="5" t="n"/>
      <c r="D55" s="8">
        <f>IF($C55="","",IFERROR(INDEX('Master Inventory'!$B:$B,MATCH($C55,'Master Inventory'!$A:$A,0)),""))</f>
        <v/>
      </c>
      <c r="E55" s="8">
        <f>IF($C55="","",IFERROR(INDEX('Master Inventory'!$C:$C,MATCH($C55,'Master Inventory'!$A:$A,0)),""))</f>
        <v/>
      </c>
      <c r="F55" s="5" t="n"/>
      <c r="G55" s="5" t="n"/>
    </row>
    <row r="56">
      <c r="A56" s="5" t="n"/>
      <c r="B56" s="12" t="n"/>
      <c r="C56" s="5" t="n"/>
      <c r="D56" s="8">
        <f>IF($C56="","",IFERROR(INDEX('Master Inventory'!$B:$B,MATCH($C56,'Master Inventory'!$A:$A,0)),""))</f>
        <v/>
      </c>
      <c r="E56" s="8">
        <f>IF($C56="","",IFERROR(INDEX('Master Inventory'!$C:$C,MATCH($C56,'Master Inventory'!$A:$A,0)),""))</f>
        <v/>
      </c>
      <c r="F56" s="5" t="n"/>
      <c r="G56" s="5" t="n"/>
    </row>
    <row r="57">
      <c r="A57" s="5" t="n"/>
      <c r="B57" s="12" t="n"/>
      <c r="C57" s="5" t="n"/>
      <c r="D57" s="8">
        <f>IF($C57="","",IFERROR(INDEX('Master Inventory'!$B:$B,MATCH($C57,'Master Inventory'!$A:$A,0)),""))</f>
        <v/>
      </c>
      <c r="E57" s="8">
        <f>IF($C57="","",IFERROR(INDEX('Master Inventory'!$C:$C,MATCH($C57,'Master Inventory'!$A:$A,0)),""))</f>
        <v/>
      </c>
      <c r="F57" s="5" t="n"/>
      <c r="G57" s="5" t="n"/>
    </row>
    <row r="58">
      <c r="A58" s="5" t="n"/>
      <c r="B58" s="12" t="n"/>
      <c r="C58" s="5" t="n"/>
      <c r="D58" s="8">
        <f>IF($C58="","",IFERROR(INDEX('Master Inventory'!$B:$B,MATCH($C58,'Master Inventory'!$A:$A,0)),""))</f>
        <v/>
      </c>
      <c r="E58" s="8">
        <f>IF($C58="","",IFERROR(INDEX('Master Inventory'!$C:$C,MATCH($C58,'Master Inventory'!$A:$A,0)),""))</f>
        <v/>
      </c>
      <c r="F58" s="5" t="n"/>
      <c r="G58" s="5" t="n"/>
    </row>
    <row r="59">
      <c r="A59" s="5" t="n"/>
      <c r="B59" s="12" t="n"/>
      <c r="C59" s="5" t="n"/>
      <c r="D59" s="8">
        <f>IF($C59="","",IFERROR(INDEX('Master Inventory'!$B:$B,MATCH($C59,'Master Inventory'!$A:$A,0)),""))</f>
        <v/>
      </c>
      <c r="E59" s="8">
        <f>IF($C59="","",IFERROR(INDEX('Master Inventory'!$C:$C,MATCH($C59,'Master Inventory'!$A:$A,0)),""))</f>
        <v/>
      </c>
      <c r="F59" s="5" t="n"/>
      <c r="G59" s="5" t="n"/>
    </row>
    <row r="60">
      <c r="A60" s="5" t="n"/>
      <c r="B60" s="12" t="n"/>
      <c r="C60" s="5" t="n"/>
      <c r="D60" s="8">
        <f>IF($C60="","",IFERROR(INDEX('Master Inventory'!$B:$B,MATCH($C60,'Master Inventory'!$A:$A,0)),""))</f>
        <v/>
      </c>
      <c r="E60" s="8">
        <f>IF($C60="","",IFERROR(INDEX('Master Inventory'!$C:$C,MATCH($C60,'Master Inventory'!$A:$A,0)),""))</f>
        <v/>
      </c>
      <c r="F60" s="5" t="n"/>
      <c r="G60" s="5" t="n"/>
    </row>
    <row r="61">
      <c r="A61" s="5" t="n"/>
      <c r="B61" s="12" t="n"/>
      <c r="C61" s="5" t="n"/>
      <c r="D61" s="8">
        <f>IF($C61="","",IFERROR(INDEX('Master Inventory'!$B:$B,MATCH($C61,'Master Inventory'!$A:$A,0)),""))</f>
        <v/>
      </c>
      <c r="E61" s="8">
        <f>IF($C61="","",IFERROR(INDEX('Master Inventory'!$C:$C,MATCH($C61,'Master Inventory'!$A:$A,0)),""))</f>
        <v/>
      </c>
      <c r="F61" s="5" t="n"/>
      <c r="G61" s="5" t="n"/>
    </row>
    <row r="62">
      <c r="A62" s="5" t="n"/>
      <c r="B62" s="12" t="n"/>
      <c r="C62" s="5" t="n"/>
      <c r="D62" s="8">
        <f>IF($C62="","",IFERROR(INDEX('Master Inventory'!$B:$B,MATCH($C62,'Master Inventory'!$A:$A,0)),""))</f>
        <v/>
      </c>
      <c r="E62" s="8">
        <f>IF($C62="","",IFERROR(INDEX('Master Inventory'!$C:$C,MATCH($C62,'Master Inventory'!$A:$A,0)),""))</f>
        <v/>
      </c>
      <c r="F62" s="5" t="n"/>
      <c r="G62" s="5" t="n"/>
    </row>
    <row r="63">
      <c r="A63" s="5" t="n"/>
      <c r="B63" s="12" t="n"/>
      <c r="C63" s="5" t="n"/>
      <c r="D63" s="8">
        <f>IF($C63="","",IFERROR(INDEX('Master Inventory'!$B:$B,MATCH($C63,'Master Inventory'!$A:$A,0)),""))</f>
        <v/>
      </c>
      <c r="E63" s="8">
        <f>IF($C63="","",IFERROR(INDEX('Master Inventory'!$C:$C,MATCH($C63,'Master Inventory'!$A:$A,0)),""))</f>
        <v/>
      </c>
      <c r="F63" s="5" t="n"/>
      <c r="G63" s="5" t="n"/>
    </row>
    <row r="64">
      <c r="A64" s="5" t="n"/>
      <c r="B64" s="12" t="n"/>
      <c r="C64" s="5" t="n"/>
      <c r="D64" s="8">
        <f>IF($C64="","",IFERROR(INDEX('Master Inventory'!$B:$B,MATCH($C64,'Master Inventory'!$A:$A,0)),""))</f>
        <v/>
      </c>
      <c r="E64" s="8">
        <f>IF($C64="","",IFERROR(INDEX('Master Inventory'!$C:$C,MATCH($C64,'Master Inventory'!$A:$A,0)),""))</f>
        <v/>
      </c>
      <c r="F64" s="5" t="n"/>
      <c r="G64" s="5" t="n"/>
    </row>
    <row r="65">
      <c r="A65" s="5" t="n"/>
      <c r="B65" s="12" t="n"/>
      <c r="C65" s="5" t="n"/>
      <c r="D65" s="8">
        <f>IF($C65="","",IFERROR(INDEX('Master Inventory'!$B:$B,MATCH($C65,'Master Inventory'!$A:$A,0)),""))</f>
        <v/>
      </c>
      <c r="E65" s="8">
        <f>IF($C65="","",IFERROR(INDEX('Master Inventory'!$C:$C,MATCH($C65,'Master Inventory'!$A:$A,0)),""))</f>
        <v/>
      </c>
      <c r="F65" s="5" t="n"/>
      <c r="G65" s="5" t="n"/>
    </row>
    <row r="66">
      <c r="A66" s="5" t="n"/>
      <c r="B66" s="12" t="n"/>
      <c r="C66" s="5" t="n"/>
      <c r="D66" s="8">
        <f>IF($C66="","",IFERROR(INDEX('Master Inventory'!$B:$B,MATCH($C66,'Master Inventory'!$A:$A,0)),""))</f>
        <v/>
      </c>
      <c r="E66" s="8">
        <f>IF($C66="","",IFERROR(INDEX('Master Inventory'!$C:$C,MATCH($C66,'Master Inventory'!$A:$A,0)),""))</f>
        <v/>
      </c>
      <c r="F66" s="5" t="n"/>
      <c r="G66" s="5" t="n"/>
    </row>
    <row r="67">
      <c r="A67" s="5" t="n"/>
      <c r="B67" s="12" t="n"/>
      <c r="C67" s="5" t="n"/>
      <c r="D67" s="8">
        <f>IF($C67="","",IFERROR(INDEX('Master Inventory'!$B:$B,MATCH($C67,'Master Inventory'!$A:$A,0)),""))</f>
        <v/>
      </c>
      <c r="E67" s="8">
        <f>IF($C67="","",IFERROR(INDEX('Master Inventory'!$C:$C,MATCH($C67,'Master Inventory'!$A:$A,0)),""))</f>
        <v/>
      </c>
      <c r="F67" s="5" t="n"/>
      <c r="G67" s="5" t="n"/>
    </row>
    <row r="68">
      <c r="A68" s="5" t="n"/>
      <c r="B68" s="12" t="n"/>
      <c r="C68" s="5" t="n"/>
      <c r="D68" s="8">
        <f>IF($C68="","",IFERROR(INDEX('Master Inventory'!$B:$B,MATCH($C68,'Master Inventory'!$A:$A,0)),""))</f>
        <v/>
      </c>
      <c r="E68" s="8">
        <f>IF($C68="","",IFERROR(INDEX('Master Inventory'!$C:$C,MATCH($C68,'Master Inventory'!$A:$A,0)),""))</f>
        <v/>
      </c>
      <c r="F68" s="5" t="n"/>
      <c r="G68" s="5" t="n"/>
    </row>
    <row r="69">
      <c r="A69" s="5" t="n"/>
      <c r="B69" s="12" t="n"/>
      <c r="C69" s="5" t="n"/>
      <c r="D69" s="8">
        <f>IF($C69="","",IFERROR(INDEX('Master Inventory'!$B:$B,MATCH($C69,'Master Inventory'!$A:$A,0)),""))</f>
        <v/>
      </c>
      <c r="E69" s="8">
        <f>IF($C69="","",IFERROR(INDEX('Master Inventory'!$C:$C,MATCH($C69,'Master Inventory'!$A:$A,0)),""))</f>
        <v/>
      </c>
      <c r="F69" s="5" t="n"/>
      <c r="G69" s="5" t="n"/>
    </row>
    <row r="70">
      <c r="A70" s="5" t="n"/>
      <c r="B70" s="12" t="n"/>
      <c r="C70" s="5" t="n"/>
      <c r="D70" s="8">
        <f>IF($C70="","",IFERROR(INDEX('Master Inventory'!$B:$B,MATCH($C70,'Master Inventory'!$A:$A,0)),""))</f>
        <v/>
      </c>
      <c r="E70" s="8">
        <f>IF($C70="","",IFERROR(INDEX('Master Inventory'!$C:$C,MATCH($C70,'Master Inventory'!$A:$A,0)),""))</f>
        <v/>
      </c>
      <c r="F70" s="5" t="n"/>
      <c r="G70" s="5" t="n"/>
    </row>
    <row r="71">
      <c r="A71" s="5" t="n"/>
      <c r="B71" s="12" t="n"/>
      <c r="C71" s="5" t="n"/>
      <c r="D71" s="8">
        <f>IF($C71="","",IFERROR(INDEX('Master Inventory'!$B:$B,MATCH($C71,'Master Inventory'!$A:$A,0)),""))</f>
        <v/>
      </c>
      <c r="E71" s="8">
        <f>IF($C71="","",IFERROR(INDEX('Master Inventory'!$C:$C,MATCH($C71,'Master Inventory'!$A:$A,0)),""))</f>
        <v/>
      </c>
      <c r="F71" s="5" t="n"/>
      <c r="G71" s="5" t="n"/>
    </row>
    <row r="72">
      <c r="A72" s="5" t="n"/>
      <c r="B72" s="12" t="n"/>
      <c r="C72" s="5" t="n"/>
      <c r="D72" s="8">
        <f>IF($C72="","",IFERROR(INDEX('Master Inventory'!$B:$B,MATCH($C72,'Master Inventory'!$A:$A,0)),""))</f>
        <v/>
      </c>
      <c r="E72" s="8">
        <f>IF($C72="","",IFERROR(INDEX('Master Inventory'!$C:$C,MATCH($C72,'Master Inventory'!$A:$A,0)),""))</f>
        <v/>
      </c>
      <c r="F72" s="5" t="n"/>
      <c r="G72" s="5" t="n"/>
    </row>
    <row r="73">
      <c r="A73" s="5" t="n"/>
      <c r="B73" s="12" t="n"/>
      <c r="C73" s="5" t="n"/>
      <c r="D73" s="8">
        <f>IF($C73="","",IFERROR(INDEX('Master Inventory'!$B:$B,MATCH($C73,'Master Inventory'!$A:$A,0)),""))</f>
        <v/>
      </c>
      <c r="E73" s="8">
        <f>IF($C73="","",IFERROR(INDEX('Master Inventory'!$C:$C,MATCH($C73,'Master Inventory'!$A:$A,0)),""))</f>
        <v/>
      </c>
      <c r="F73" s="5" t="n"/>
      <c r="G73" s="5" t="n"/>
    </row>
    <row r="74">
      <c r="A74" s="5" t="n"/>
      <c r="B74" s="12" t="n"/>
      <c r="C74" s="5" t="n"/>
      <c r="D74" s="8">
        <f>IF($C74="","",IFERROR(INDEX('Master Inventory'!$B:$B,MATCH($C74,'Master Inventory'!$A:$A,0)),""))</f>
        <v/>
      </c>
      <c r="E74" s="8">
        <f>IF($C74="","",IFERROR(INDEX('Master Inventory'!$C:$C,MATCH($C74,'Master Inventory'!$A:$A,0)),""))</f>
        <v/>
      </c>
      <c r="F74" s="5" t="n"/>
      <c r="G74" s="5" t="n"/>
    </row>
    <row r="75">
      <c r="A75" s="5" t="n"/>
      <c r="B75" s="12" t="n"/>
      <c r="C75" s="5" t="n"/>
      <c r="D75" s="8">
        <f>IF($C75="","",IFERROR(INDEX('Master Inventory'!$B:$B,MATCH($C75,'Master Inventory'!$A:$A,0)),""))</f>
        <v/>
      </c>
      <c r="E75" s="8">
        <f>IF($C75="","",IFERROR(INDEX('Master Inventory'!$C:$C,MATCH($C75,'Master Inventory'!$A:$A,0)),""))</f>
        <v/>
      </c>
      <c r="F75" s="5" t="n"/>
      <c r="G75" s="5" t="n"/>
    </row>
    <row r="76">
      <c r="A76" s="5" t="n"/>
      <c r="B76" s="12" t="n"/>
      <c r="C76" s="5" t="n"/>
      <c r="D76" s="8">
        <f>IF($C76="","",IFERROR(INDEX('Master Inventory'!$B:$B,MATCH($C76,'Master Inventory'!$A:$A,0)),""))</f>
        <v/>
      </c>
      <c r="E76" s="8">
        <f>IF($C76="","",IFERROR(INDEX('Master Inventory'!$C:$C,MATCH($C76,'Master Inventory'!$A:$A,0)),""))</f>
        <v/>
      </c>
      <c r="F76" s="5" t="n"/>
      <c r="G76" s="5" t="n"/>
    </row>
    <row r="77">
      <c r="A77" s="5" t="n"/>
      <c r="B77" s="12" t="n"/>
      <c r="C77" s="5" t="n"/>
      <c r="D77" s="8">
        <f>IF($C77="","",IFERROR(INDEX('Master Inventory'!$B:$B,MATCH($C77,'Master Inventory'!$A:$A,0)),""))</f>
        <v/>
      </c>
      <c r="E77" s="8">
        <f>IF($C77="","",IFERROR(INDEX('Master Inventory'!$C:$C,MATCH($C77,'Master Inventory'!$A:$A,0)),""))</f>
        <v/>
      </c>
      <c r="F77" s="5" t="n"/>
      <c r="G77" s="5" t="n"/>
    </row>
    <row r="78">
      <c r="A78" s="5" t="n"/>
      <c r="B78" s="12" t="n"/>
      <c r="C78" s="5" t="n"/>
      <c r="D78" s="8">
        <f>IF($C78="","",IFERROR(INDEX('Master Inventory'!$B:$B,MATCH($C78,'Master Inventory'!$A:$A,0)),""))</f>
        <v/>
      </c>
      <c r="E78" s="8">
        <f>IF($C78="","",IFERROR(INDEX('Master Inventory'!$C:$C,MATCH($C78,'Master Inventory'!$A:$A,0)),""))</f>
        <v/>
      </c>
      <c r="F78" s="5" t="n"/>
      <c r="G78" s="5" t="n"/>
    </row>
    <row r="79">
      <c r="A79" s="5" t="n"/>
      <c r="B79" s="12" t="n"/>
      <c r="C79" s="5" t="n"/>
      <c r="D79" s="8">
        <f>IF($C79="","",IFERROR(INDEX('Master Inventory'!$B:$B,MATCH($C79,'Master Inventory'!$A:$A,0)),""))</f>
        <v/>
      </c>
      <c r="E79" s="8">
        <f>IF($C79="","",IFERROR(INDEX('Master Inventory'!$C:$C,MATCH($C79,'Master Inventory'!$A:$A,0)),""))</f>
        <v/>
      </c>
      <c r="F79" s="5" t="n"/>
      <c r="G79" s="5" t="n"/>
    </row>
    <row r="80">
      <c r="A80" s="5" t="n"/>
      <c r="B80" s="12" t="n"/>
      <c r="C80" s="5" t="n"/>
      <c r="D80" s="8">
        <f>IF($C80="","",IFERROR(INDEX('Master Inventory'!$B:$B,MATCH($C80,'Master Inventory'!$A:$A,0)),""))</f>
        <v/>
      </c>
      <c r="E80" s="8">
        <f>IF($C80="","",IFERROR(INDEX('Master Inventory'!$C:$C,MATCH($C80,'Master Inventory'!$A:$A,0)),""))</f>
        <v/>
      </c>
      <c r="F80" s="5" t="n"/>
      <c r="G80" s="5" t="n"/>
    </row>
    <row r="81">
      <c r="A81" s="5" t="n"/>
      <c r="B81" s="12" t="n"/>
      <c r="C81" s="5" t="n"/>
      <c r="D81" s="8">
        <f>IF($C81="","",IFERROR(INDEX('Master Inventory'!$B:$B,MATCH($C81,'Master Inventory'!$A:$A,0)),""))</f>
        <v/>
      </c>
      <c r="E81" s="8">
        <f>IF($C81="","",IFERROR(INDEX('Master Inventory'!$C:$C,MATCH($C81,'Master Inventory'!$A:$A,0)),""))</f>
        <v/>
      </c>
      <c r="F81" s="5" t="n"/>
      <c r="G81" s="5" t="n"/>
    </row>
    <row r="82">
      <c r="A82" s="5" t="n"/>
      <c r="B82" s="12" t="n"/>
      <c r="C82" s="5" t="n"/>
      <c r="D82" s="8">
        <f>IF($C82="","",IFERROR(INDEX('Master Inventory'!$B:$B,MATCH($C82,'Master Inventory'!$A:$A,0)),""))</f>
        <v/>
      </c>
      <c r="E82" s="8">
        <f>IF($C82="","",IFERROR(INDEX('Master Inventory'!$C:$C,MATCH($C82,'Master Inventory'!$A:$A,0)),""))</f>
        <v/>
      </c>
      <c r="F82" s="5" t="n"/>
      <c r="G82" s="5" t="n"/>
    </row>
    <row r="83">
      <c r="A83" s="5" t="n"/>
      <c r="B83" s="12" t="n"/>
      <c r="C83" s="5" t="n"/>
      <c r="D83" s="8">
        <f>IF($C83="","",IFERROR(INDEX('Master Inventory'!$B:$B,MATCH($C83,'Master Inventory'!$A:$A,0)),""))</f>
        <v/>
      </c>
      <c r="E83" s="8">
        <f>IF($C83="","",IFERROR(INDEX('Master Inventory'!$C:$C,MATCH($C83,'Master Inventory'!$A:$A,0)),""))</f>
        <v/>
      </c>
      <c r="F83" s="5" t="n"/>
      <c r="G83" s="5" t="n"/>
    </row>
    <row r="84">
      <c r="A84" s="5" t="n"/>
      <c r="B84" s="12" t="n"/>
      <c r="C84" s="5" t="n"/>
      <c r="D84" s="8">
        <f>IF($C84="","",IFERROR(INDEX('Master Inventory'!$B:$B,MATCH($C84,'Master Inventory'!$A:$A,0)),""))</f>
        <v/>
      </c>
      <c r="E84" s="8">
        <f>IF($C84="","",IFERROR(INDEX('Master Inventory'!$C:$C,MATCH($C84,'Master Inventory'!$A:$A,0)),""))</f>
        <v/>
      </c>
      <c r="F84" s="5" t="n"/>
      <c r="G84" s="5" t="n"/>
    </row>
    <row r="85">
      <c r="A85" s="5" t="n"/>
      <c r="B85" s="12" t="n"/>
      <c r="C85" s="5" t="n"/>
      <c r="D85" s="8">
        <f>IF($C85="","",IFERROR(INDEX('Master Inventory'!$B:$B,MATCH($C85,'Master Inventory'!$A:$A,0)),""))</f>
        <v/>
      </c>
      <c r="E85" s="8">
        <f>IF($C85="","",IFERROR(INDEX('Master Inventory'!$C:$C,MATCH($C85,'Master Inventory'!$A:$A,0)),""))</f>
        <v/>
      </c>
      <c r="F85" s="5" t="n"/>
      <c r="G85" s="5" t="n"/>
    </row>
    <row r="86">
      <c r="A86" s="5" t="n"/>
      <c r="B86" s="12" t="n"/>
      <c r="C86" s="5" t="n"/>
      <c r="D86" s="8">
        <f>IF($C86="","",IFERROR(INDEX('Master Inventory'!$B:$B,MATCH($C86,'Master Inventory'!$A:$A,0)),""))</f>
        <v/>
      </c>
      <c r="E86" s="8">
        <f>IF($C86="","",IFERROR(INDEX('Master Inventory'!$C:$C,MATCH($C86,'Master Inventory'!$A:$A,0)),""))</f>
        <v/>
      </c>
      <c r="F86" s="5" t="n"/>
      <c r="G86" s="5" t="n"/>
    </row>
    <row r="87">
      <c r="A87" s="5" t="n"/>
      <c r="B87" s="12" t="n"/>
      <c r="C87" s="5" t="n"/>
      <c r="D87" s="8">
        <f>IF($C87="","",IFERROR(INDEX('Master Inventory'!$B:$B,MATCH($C87,'Master Inventory'!$A:$A,0)),""))</f>
        <v/>
      </c>
      <c r="E87" s="8">
        <f>IF($C87="","",IFERROR(INDEX('Master Inventory'!$C:$C,MATCH($C87,'Master Inventory'!$A:$A,0)),""))</f>
        <v/>
      </c>
      <c r="F87" s="5" t="n"/>
      <c r="G87" s="5" t="n"/>
    </row>
    <row r="88">
      <c r="A88" s="5" t="n"/>
      <c r="B88" s="12" t="n"/>
      <c r="C88" s="5" t="n"/>
      <c r="D88" s="8">
        <f>IF($C88="","",IFERROR(INDEX('Master Inventory'!$B:$B,MATCH($C88,'Master Inventory'!$A:$A,0)),""))</f>
        <v/>
      </c>
      <c r="E88" s="8">
        <f>IF($C88="","",IFERROR(INDEX('Master Inventory'!$C:$C,MATCH($C88,'Master Inventory'!$A:$A,0)),""))</f>
        <v/>
      </c>
      <c r="F88" s="5" t="n"/>
      <c r="G88" s="5" t="n"/>
    </row>
    <row r="89">
      <c r="A89" s="5" t="n"/>
      <c r="B89" s="12" t="n"/>
      <c r="C89" s="5" t="n"/>
      <c r="D89" s="8">
        <f>IF($C89="","",IFERROR(INDEX('Master Inventory'!$B:$B,MATCH($C89,'Master Inventory'!$A:$A,0)),""))</f>
        <v/>
      </c>
      <c r="E89" s="8">
        <f>IF($C89="","",IFERROR(INDEX('Master Inventory'!$C:$C,MATCH($C89,'Master Inventory'!$A:$A,0)),""))</f>
        <v/>
      </c>
      <c r="F89" s="5" t="n"/>
      <c r="G89" s="5" t="n"/>
    </row>
    <row r="90">
      <c r="A90" s="5" t="n"/>
      <c r="B90" s="12" t="n"/>
      <c r="C90" s="5" t="n"/>
      <c r="D90" s="8">
        <f>IF($C90="","",IFERROR(INDEX('Master Inventory'!$B:$B,MATCH($C90,'Master Inventory'!$A:$A,0)),""))</f>
        <v/>
      </c>
      <c r="E90" s="8">
        <f>IF($C90="","",IFERROR(INDEX('Master Inventory'!$C:$C,MATCH($C90,'Master Inventory'!$A:$A,0)),""))</f>
        <v/>
      </c>
      <c r="F90" s="5" t="n"/>
      <c r="G90" s="5" t="n"/>
    </row>
    <row r="91">
      <c r="A91" s="5" t="n"/>
      <c r="B91" s="12" t="n"/>
      <c r="C91" s="5" t="n"/>
      <c r="D91" s="8">
        <f>IF($C91="","",IFERROR(INDEX('Master Inventory'!$B:$B,MATCH($C91,'Master Inventory'!$A:$A,0)),""))</f>
        <v/>
      </c>
      <c r="E91" s="8">
        <f>IF($C91="","",IFERROR(INDEX('Master Inventory'!$C:$C,MATCH($C91,'Master Inventory'!$A:$A,0)),""))</f>
        <v/>
      </c>
      <c r="F91" s="5" t="n"/>
      <c r="G91" s="5" t="n"/>
    </row>
    <row r="92">
      <c r="A92" s="5" t="n"/>
      <c r="B92" s="12" t="n"/>
      <c r="C92" s="5" t="n"/>
      <c r="D92" s="8">
        <f>IF($C92="","",IFERROR(INDEX('Master Inventory'!$B:$B,MATCH($C92,'Master Inventory'!$A:$A,0)),""))</f>
        <v/>
      </c>
      <c r="E92" s="8">
        <f>IF($C92="","",IFERROR(INDEX('Master Inventory'!$C:$C,MATCH($C92,'Master Inventory'!$A:$A,0)),""))</f>
        <v/>
      </c>
      <c r="F92" s="5" t="n"/>
      <c r="G92" s="5" t="n"/>
    </row>
    <row r="93">
      <c r="A93" s="5" t="n"/>
      <c r="B93" s="12" t="n"/>
      <c r="C93" s="5" t="n"/>
      <c r="D93" s="8">
        <f>IF($C93="","",IFERROR(INDEX('Master Inventory'!$B:$B,MATCH($C93,'Master Inventory'!$A:$A,0)),""))</f>
        <v/>
      </c>
      <c r="E93" s="8">
        <f>IF($C93="","",IFERROR(INDEX('Master Inventory'!$C:$C,MATCH($C93,'Master Inventory'!$A:$A,0)),""))</f>
        <v/>
      </c>
      <c r="F93" s="5" t="n"/>
      <c r="G93" s="5" t="n"/>
    </row>
    <row r="94">
      <c r="A94" s="5" t="n"/>
      <c r="B94" s="12" t="n"/>
      <c r="C94" s="5" t="n"/>
      <c r="D94" s="8">
        <f>IF($C94="","",IFERROR(INDEX('Master Inventory'!$B:$B,MATCH($C94,'Master Inventory'!$A:$A,0)),""))</f>
        <v/>
      </c>
      <c r="E94" s="8">
        <f>IF($C94="","",IFERROR(INDEX('Master Inventory'!$C:$C,MATCH($C94,'Master Inventory'!$A:$A,0)),""))</f>
        <v/>
      </c>
      <c r="F94" s="5" t="n"/>
      <c r="G94" s="5" t="n"/>
    </row>
    <row r="95">
      <c r="A95" s="5" t="n"/>
      <c r="B95" s="12" t="n"/>
      <c r="C95" s="5" t="n"/>
      <c r="D95" s="8">
        <f>IF($C95="","",IFERROR(INDEX('Master Inventory'!$B:$B,MATCH($C95,'Master Inventory'!$A:$A,0)),""))</f>
        <v/>
      </c>
      <c r="E95" s="8">
        <f>IF($C95="","",IFERROR(INDEX('Master Inventory'!$C:$C,MATCH($C95,'Master Inventory'!$A:$A,0)),""))</f>
        <v/>
      </c>
      <c r="F95" s="5" t="n"/>
      <c r="G95" s="5" t="n"/>
    </row>
    <row r="96">
      <c r="A96" s="5" t="n"/>
      <c r="B96" s="12" t="n"/>
      <c r="C96" s="5" t="n"/>
      <c r="D96" s="8">
        <f>IF($C96="","",IFERROR(INDEX('Master Inventory'!$B:$B,MATCH($C96,'Master Inventory'!$A:$A,0)),""))</f>
        <v/>
      </c>
      <c r="E96" s="8">
        <f>IF($C96="","",IFERROR(INDEX('Master Inventory'!$C:$C,MATCH($C96,'Master Inventory'!$A:$A,0)),""))</f>
        <v/>
      </c>
      <c r="F96" s="5" t="n"/>
      <c r="G96" s="5" t="n"/>
    </row>
    <row r="97">
      <c r="A97" s="5" t="n"/>
      <c r="B97" s="12" t="n"/>
      <c r="C97" s="5" t="n"/>
      <c r="D97" s="8">
        <f>IF($C97="","",IFERROR(INDEX('Master Inventory'!$B:$B,MATCH($C97,'Master Inventory'!$A:$A,0)),""))</f>
        <v/>
      </c>
      <c r="E97" s="8">
        <f>IF($C97="","",IFERROR(INDEX('Master Inventory'!$C:$C,MATCH($C97,'Master Inventory'!$A:$A,0)),""))</f>
        <v/>
      </c>
      <c r="F97" s="5" t="n"/>
      <c r="G97" s="5" t="n"/>
    </row>
    <row r="98">
      <c r="A98" s="5" t="n"/>
      <c r="B98" s="12" t="n"/>
      <c r="C98" s="5" t="n"/>
      <c r="D98" s="8">
        <f>IF($C98="","",IFERROR(INDEX('Master Inventory'!$B:$B,MATCH($C98,'Master Inventory'!$A:$A,0)),""))</f>
        <v/>
      </c>
      <c r="E98" s="8">
        <f>IF($C98="","",IFERROR(INDEX('Master Inventory'!$C:$C,MATCH($C98,'Master Inventory'!$A:$A,0)),""))</f>
        <v/>
      </c>
      <c r="F98" s="5" t="n"/>
      <c r="G98" s="5" t="n"/>
    </row>
    <row r="99">
      <c r="A99" s="5" t="n"/>
      <c r="B99" s="12" t="n"/>
      <c r="C99" s="5" t="n"/>
      <c r="D99" s="8">
        <f>IF($C99="","",IFERROR(INDEX('Master Inventory'!$B:$B,MATCH($C99,'Master Inventory'!$A:$A,0)),""))</f>
        <v/>
      </c>
      <c r="E99" s="8">
        <f>IF($C99="","",IFERROR(INDEX('Master Inventory'!$C:$C,MATCH($C99,'Master Inventory'!$A:$A,0)),""))</f>
        <v/>
      </c>
      <c r="F99" s="5" t="n"/>
      <c r="G99" s="5" t="n"/>
    </row>
    <row r="100">
      <c r="A100" s="5" t="n"/>
      <c r="B100" s="12" t="n"/>
      <c r="C100" s="5" t="n"/>
      <c r="D100" s="8">
        <f>IF($C100="","",IFERROR(INDEX('Master Inventory'!$B:$B,MATCH($C100,'Master Inventory'!$A:$A,0)),""))</f>
        <v/>
      </c>
      <c r="E100" s="8">
        <f>IF($C100="","",IFERROR(INDEX('Master Inventory'!$C:$C,MATCH($C100,'Master Inventory'!$A:$A,0)),""))</f>
        <v/>
      </c>
      <c r="F100" s="5" t="n"/>
      <c r="G100" s="5" t="n"/>
    </row>
    <row r="101">
      <c r="A101" s="5" t="n"/>
      <c r="B101" s="12" t="n"/>
      <c r="C101" s="5" t="n"/>
      <c r="D101" s="8">
        <f>IF($C101="","",IFERROR(INDEX('Master Inventory'!$B:$B,MATCH($C101,'Master Inventory'!$A:$A,0)),""))</f>
        <v/>
      </c>
      <c r="E101" s="8">
        <f>IF($C101="","",IFERROR(INDEX('Master Inventory'!$C:$C,MATCH($C101,'Master Inventory'!$A:$A,0)),""))</f>
        <v/>
      </c>
      <c r="F101" s="5" t="n"/>
      <c r="G101" s="5" t="n"/>
    </row>
    <row r="102">
      <c r="A102" s="5" t="n"/>
      <c r="B102" s="12" t="n"/>
      <c r="C102" s="5" t="n"/>
      <c r="D102" s="8">
        <f>IF($C102="","",IFERROR(INDEX('Master Inventory'!$B:$B,MATCH($C102,'Master Inventory'!$A:$A,0)),""))</f>
        <v/>
      </c>
      <c r="E102" s="8">
        <f>IF($C102="","",IFERROR(INDEX('Master Inventory'!$C:$C,MATCH($C102,'Master Inventory'!$A:$A,0)),""))</f>
        <v/>
      </c>
      <c r="F102" s="5" t="n"/>
      <c r="G102" s="5" t="n"/>
    </row>
    <row r="103">
      <c r="A103" s="5" t="n"/>
      <c r="B103" s="12" t="n"/>
      <c r="C103" s="5" t="n"/>
      <c r="D103" s="8">
        <f>IF($C103="","",IFERROR(INDEX('Master Inventory'!$B:$B,MATCH($C103,'Master Inventory'!$A:$A,0)),""))</f>
        <v/>
      </c>
      <c r="E103" s="8">
        <f>IF($C103="","",IFERROR(INDEX('Master Inventory'!$C:$C,MATCH($C103,'Master Inventory'!$A:$A,0)),""))</f>
        <v/>
      </c>
      <c r="F103" s="5" t="n"/>
      <c r="G103" s="5" t="n"/>
    </row>
    <row r="104">
      <c r="A104" s="5" t="n"/>
      <c r="B104" s="12" t="n"/>
      <c r="C104" s="5" t="n"/>
      <c r="D104" s="8">
        <f>IF($C104="","",IFERROR(INDEX('Master Inventory'!$B:$B,MATCH($C104,'Master Inventory'!$A:$A,0)),""))</f>
        <v/>
      </c>
      <c r="E104" s="8">
        <f>IF($C104="","",IFERROR(INDEX('Master Inventory'!$C:$C,MATCH($C104,'Master Inventory'!$A:$A,0)),""))</f>
        <v/>
      </c>
      <c r="F104" s="5" t="n"/>
      <c r="G104" s="5" t="n"/>
    </row>
    <row r="105">
      <c r="A105" s="5" t="n"/>
      <c r="B105" s="12" t="n"/>
      <c r="C105" s="5" t="n"/>
      <c r="D105" s="8">
        <f>IF($C105="","",IFERROR(INDEX('Master Inventory'!$B:$B,MATCH($C105,'Master Inventory'!$A:$A,0)),""))</f>
        <v/>
      </c>
      <c r="E105" s="8">
        <f>IF($C105="","",IFERROR(INDEX('Master Inventory'!$C:$C,MATCH($C105,'Master Inventory'!$A:$A,0)),""))</f>
        <v/>
      </c>
      <c r="F105" s="5" t="n"/>
      <c r="G105" s="5" t="n"/>
    </row>
    <row r="106">
      <c r="A106" s="5" t="n"/>
      <c r="B106" s="12" t="n"/>
      <c r="C106" s="5" t="n"/>
      <c r="D106" s="8">
        <f>IF($C106="","",IFERROR(INDEX('Master Inventory'!$B:$B,MATCH($C106,'Master Inventory'!$A:$A,0)),""))</f>
        <v/>
      </c>
      <c r="E106" s="8">
        <f>IF($C106="","",IFERROR(INDEX('Master Inventory'!$C:$C,MATCH($C106,'Master Inventory'!$A:$A,0)),""))</f>
        <v/>
      </c>
      <c r="F106" s="5" t="n"/>
      <c r="G106" s="5" t="n"/>
    </row>
    <row r="107">
      <c r="A107" s="5" t="n"/>
      <c r="B107" s="12" t="n"/>
      <c r="C107" s="5" t="n"/>
      <c r="D107" s="8">
        <f>IF($C107="","",IFERROR(INDEX('Master Inventory'!$B:$B,MATCH($C107,'Master Inventory'!$A:$A,0)),""))</f>
        <v/>
      </c>
      <c r="E107" s="8">
        <f>IF($C107="","",IFERROR(INDEX('Master Inventory'!$C:$C,MATCH($C107,'Master Inventory'!$A:$A,0)),""))</f>
        <v/>
      </c>
      <c r="F107" s="5" t="n"/>
      <c r="G107" s="5" t="n"/>
    </row>
    <row r="108">
      <c r="A108" s="5" t="n"/>
      <c r="B108" s="12" t="n"/>
      <c r="C108" s="5" t="n"/>
      <c r="D108" s="8">
        <f>IF($C108="","",IFERROR(INDEX('Master Inventory'!$B:$B,MATCH($C108,'Master Inventory'!$A:$A,0)),""))</f>
        <v/>
      </c>
      <c r="E108" s="8">
        <f>IF($C108="","",IFERROR(INDEX('Master Inventory'!$C:$C,MATCH($C108,'Master Inventory'!$A:$A,0)),""))</f>
        <v/>
      </c>
      <c r="F108" s="5" t="n"/>
      <c r="G108" s="5" t="n"/>
    </row>
    <row r="109">
      <c r="A109" s="5" t="n"/>
      <c r="B109" s="12" t="n"/>
      <c r="C109" s="5" t="n"/>
      <c r="D109" s="8">
        <f>IF($C109="","",IFERROR(INDEX('Master Inventory'!$B:$B,MATCH($C109,'Master Inventory'!$A:$A,0)),""))</f>
        <v/>
      </c>
      <c r="E109" s="8">
        <f>IF($C109="","",IFERROR(INDEX('Master Inventory'!$C:$C,MATCH($C109,'Master Inventory'!$A:$A,0)),""))</f>
        <v/>
      </c>
      <c r="F109" s="5" t="n"/>
      <c r="G109" s="5" t="n"/>
    </row>
    <row r="110">
      <c r="A110" s="5" t="n"/>
      <c r="B110" s="12" t="n"/>
      <c r="C110" s="5" t="n"/>
      <c r="D110" s="8">
        <f>IF($C110="","",IFERROR(INDEX('Master Inventory'!$B:$B,MATCH($C110,'Master Inventory'!$A:$A,0)),""))</f>
        <v/>
      </c>
      <c r="E110" s="8">
        <f>IF($C110="","",IFERROR(INDEX('Master Inventory'!$C:$C,MATCH($C110,'Master Inventory'!$A:$A,0)),""))</f>
        <v/>
      </c>
      <c r="F110" s="5" t="n"/>
      <c r="G110" s="5" t="n"/>
    </row>
    <row r="111">
      <c r="A111" s="5" t="n"/>
      <c r="B111" s="12" t="n"/>
      <c r="C111" s="5" t="n"/>
      <c r="D111" s="8">
        <f>IF($C111="","",IFERROR(INDEX('Master Inventory'!$B:$B,MATCH($C111,'Master Inventory'!$A:$A,0)),""))</f>
        <v/>
      </c>
      <c r="E111" s="8">
        <f>IF($C111="","",IFERROR(INDEX('Master Inventory'!$C:$C,MATCH($C111,'Master Inventory'!$A:$A,0)),""))</f>
        <v/>
      </c>
      <c r="F111" s="5" t="n"/>
      <c r="G111" s="5" t="n"/>
    </row>
    <row r="112">
      <c r="A112" s="5" t="n"/>
      <c r="B112" s="12" t="n"/>
      <c r="C112" s="5" t="n"/>
      <c r="D112" s="8">
        <f>IF($C112="","",IFERROR(INDEX('Master Inventory'!$B:$B,MATCH($C112,'Master Inventory'!$A:$A,0)),""))</f>
        <v/>
      </c>
      <c r="E112" s="8">
        <f>IF($C112="","",IFERROR(INDEX('Master Inventory'!$C:$C,MATCH($C112,'Master Inventory'!$A:$A,0)),""))</f>
        <v/>
      </c>
      <c r="F112" s="5" t="n"/>
      <c r="G112" s="5" t="n"/>
    </row>
    <row r="113">
      <c r="A113" s="5" t="n"/>
      <c r="B113" s="12" t="n"/>
      <c r="C113" s="5" t="n"/>
      <c r="D113" s="8">
        <f>IF($C113="","",IFERROR(INDEX('Master Inventory'!$B:$B,MATCH($C113,'Master Inventory'!$A:$A,0)),""))</f>
        <v/>
      </c>
      <c r="E113" s="8">
        <f>IF($C113="","",IFERROR(INDEX('Master Inventory'!$C:$C,MATCH($C113,'Master Inventory'!$A:$A,0)),""))</f>
        <v/>
      </c>
      <c r="F113" s="5" t="n"/>
      <c r="G113" s="5" t="n"/>
    </row>
    <row r="114">
      <c r="A114" s="5" t="n"/>
      <c r="B114" s="12" t="n"/>
      <c r="C114" s="5" t="n"/>
      <c r="D114" s="8">
        <f>IF($C114="","",IFERROR(INDEX('Master Inventory'!$B:$B,MATCH($C114,'Master Inventory'!$A:$A,0)),""))</f>
        <v/>
      </c>
      <c r="E114" s="8">
        <f>IF($C114="","",IFERROR(INDEX('Master Inventory'!$C:$C,MATCH($C114,'Master Inventory'!$A:$A,0)),""))</f>
        <v/>
      </c>
      <c r="F114" s="5" t="n"/>
      <c r="G114" s="5" t="n"/>
    </row>
    <row r="115">
      <c r="A115" s="5" t="n"/>
      <c r="B115" s="12" t="n"/>
      <c r="C115" s="5" t="n"/>
      <c r="D115" s="8">
        <f>IF($C115="","",IFERROR(INDEX('Master Inventory'!$B:$B,MATCH($C115,'Master Inventory'!$A:$A,0)),""))</f>
        <v/>
      </c>
      <c r="E115" s="8">
        <f>IF($C115="","",IFERROR(INDEX('Master Inventory'!$C:$C,MATCH($C115,'Master Inventory'!$A:$A,0)),""))</f>
        <v/>
      </c>
      <c r="F115" s="5" t="n"/>
      <c r="G115" s="5" t="n"/>
    </row>
    <row r="116">
      <c r="A116" s="5" t="n"/>
      <c r="B116" s="12" t="n"/>
      <c r="C116" s="5" t="n"/>
      <c r="D116" s="8">
        <f>IF($C116="","",IFERROR(INDEX('Master Inventory'!$B:$B,MATCH($C116,'Master Inventory'!$A:$A,0)),""))</f>
        <v/>
      </c>
      <c r="E116" s="8">
        <f>IF($C116="","",IFERROR(INDEX('Master Inventory'!$C:$C,MATCH($C116,'Master Inventory'!$A:$A,0)),""))</f>
        <v/>
      </c>
      <c r="F116" s="5" t="n"/>
      <c r="G116" s="5" t="n"/>
    </row>
    <row r="117">
      <c r="A117" s="5" t="n"/>
      <c r="B117" s="12" t="n"/>
      <c r="C117" s="5" t="n"/>
      <c r="D117" s="8">
        <f>IF($C117="","",IFERROR(INDEX('Master Inventory'!$B:$B,MATCH($C117,'Master Inventory'!$A:$A,0)),""))</f>
        <v/>
      </c>
      <c r="E117" s="8">
        <f>IF($C117="","",IFERROR(INDEX('Master Inventory'!$C:$C,MATCH($C117,'Master Inventory'!$A:$A,0)),""))</f>
        <v/>
      </c>
      <c r="F117" s="5" t="n"/>
      <c r="G117" s="5" t="n"/>
    </row>
    <row r="118">
      <c r="A118" s="5" t="n"/>
      <c r="B118" s="12" t="n"/>
      <c r="C118" s="5" t="n"/>
      <c r="D118" s="8">
        <f>IF($C118="","",IFERROR(INDEX('Master Inventory'!$B:$B,MATCH($C118,'Master Inventory'!$A:$A,0)),""))</f>
        <v/>
      </c>
      <c r="E118" s="8">
        <f>IF($C118="","",IFERROR(INDEX('Master Inventory'!$C:$C,MATCH($C118,'Master Inventory'!$A:$A,0)),""))</f>
        <v/>
      </c>
      <c r="F118" s="5" t="n"/>
      <c r="G118" s="5" t="n"/>
    </row>
    <row r="119">
      <c r="A119" s="5" t="n"/>
      <c r="B119" s="12" t="n"/>
      <c r="C119" s="5" t="n"/>
      <c r="D119" s="8">
        <f>IF($C119="","",IFERROR(INDEX('Master Inventory'!$B:$B,MATCH($C119,'Master Inventory'!$A:$A,0)),""))</f>
        <v/>
      </c>
      <c r="E119" s="8">
        <f>IF($C119="","",IFERROR(INDEX('Master Inventory'!$C:$C,MATCH($C119,'Master Inventory'!$A:$A,0)),""))</f>
        <v/>
      </c>
      <c r="F119" s="5" t="n"/>
      <c r="G119" s="5" t="n"/>
    </row>
    <row r="120">
      <c r="A120" s="5" t="n"/>
      <c r="B120" s="12" t="n"/>
      <c r="C120" s="5" t="n"/>
      <c r="D120" s="8">
        <f>IF($C120="","",IFERROR(INDEX('Master Inventory'!$B:$B,MATCH($C120,'Master Inventory'!$A:$A,0)),""))</f>
        <v/>
      </c>
      <c r="E120" s="8">
        <f>IF($C120="","",IFERROR(INDEX('Master Inventory'!$C:$C,MATCH($C120,'Master Inventory'!$A:$A,0)),""))</f>
        <v/>
      </c>
      <c r="F120" s="5" t="n"/>
      <c r="G120" s="5" t="n"/>
    </row>
    <row r="121">
      <c r="A121" s="5" t="n"/>
      <c r="B121" s="12" t="n"/>
      <c r="C121" s="5" t="n"/>
      <c r="D121" s="8">
        <f>IF($C121="","",IFERROR(INDEX('Master Inventory'!$B:$B,MATCH($C121,'Master Inventory'!$A:$A,0)),""))</f>
        <v/>
      </c>
      <c r="E121" s="8">
        <f>IF($C121="","",IFERROR(INDEX('Master Inventory'!$C:$C,MATCH($C121,'Master Inventory'!$A:$A,0)),""))</f>
        <v/>
      </c>
      <c r="F121" s="5" t="n"/>
      <c r="G121" s="5" t="n"/>
    </row>
    <row r="122">
      <c r="A122" s="5" t="n"/>
      <c r="B122" s="12" t="n"/>
      <c r="C122" s="5" t="n"/>
      <c r="D122" s="8">
        <f>IF($C122="","",IFERROR(INDEX('Master Inventory'!$B:$B,MATCH($C122,'Master Inventory'!$A:$A,0)),""))</f>
        <v/>
      </c>
      <c r="E122" s="8">
        <f>IF($C122="","",IFERROR(INDEX('Master Inventory'!$C:$C,MATCH($C122,'Master Inventory'!$A:$A,0)),""))</f>
        <v/>
      </c>
      <c r="F122" s="5" t="n"/>
      <c r="G122" s="5" t="n"/>
    </row>
    <row r="123">
      <c r="A123" s="5" t="n"/>
      <c r="B123" s="12" t="n"/>
      <c r="C123" s="5" t="n"/>
      <c r="D123" s="8">
        <f>IF($C123="","",IFERROR(INDEX('Master Inventory'!$B:$B,MATCH($C123,'Master Inventory'!$A:$A,0)),""))</f>
        <v/>
      </c>
      <c r="E123" s="8">
        <f>IF($C123="","",IFERROR(INDEX('Master Inventory'!$C:$C,MATCH($C123,'Master Inventory'!$A:$A,0)),""))</f>
        <v/>
      </c>
      <c r="F123" s="5" t="n"/>
      <c r="G123" s="5" t="n"/>
    </row>
    <row r="124">
      <c r="A124" s="5" t="n"/>
      <c r="B124" s="12" t="n"/>
      <c r="C124" s="5" t="n"/>
      <c r="D124" s="8">
        <f>IF($C124="","",IFERROR(INDEX('Master Inventory'!$B:$B,MATCH($C124,'Master Inventory'!$A:$A,0)),""))</f>
        <v/>
      </c>
      <c r="E124" s="8">
        <f>IF($C124="","",IFERROR(INDEX('Master Inventory'!$C:$C,MATCH($C124,'Master Inventory'!$A:$A,0)),""))</f>
        <v/>
      </c>
      <c r="F124" s="5" t="n"/>
      <c r="G124" s="5" t="n"/>
    </row>
    <row r="125">
      <c r="A125" s="5" t="n"/>
      <c r="B125" s="12" t="n"/>
      <c r="C125" s="5" t="n"/>
      <c r="D125" s="8">
        <f>IF($C125="","",IFERROR(INDEX('Master Inventory'!$B:$B,MATCH($C125,'Master Inventory'!$A:$A,0)),""))</f>
        <v/>
      </c>
      <c r="E125" s="8">
        <f>IF($C125="","",IFERROR(INDEX('Master Inventory'!$C:$C,MATCH($C125,'Master Inventory'!$A:$A,0)),""))</f>
        <v/>
      </c>
      <c r="F125" s="5" t="n"/>
      <c r="G125" s="5" t="n"/>
    </row>
    <row r="126">
      <c r="A126" s="5" t="n"/>
      <c r="B126" s="12" t="n"/>
      <c r="C126" s="5" t="n"/>
      <c r="D126" s="8">
        <f>IF($C126="","",IFERROR(INDEX('Master Inventory'!$B:$B,MATCH($C126,'Master Inventory'!$A:$A,0)),""))</f>
        <v/>
      </c>
      <c r="E126" s="8">
        <f>IF($C126="","",IFERROR(INDEX('Master Inventory'!$C:$C,MATCH($C126,'Master Inventory'!$A:$A,0)),""))</f>
        <v/>
      </c>
      <c r="F126" s="5" t="n"/>
      <c r="G126" s="5" t="n"/>
    </row>
    <row r="127">
      <c r="A127" s="5" t="n"/>
      <c r="B127" s="12" t="n"/>
      <c r="C127" s="5" t="n"/>
      <c r="D127" s="8">
        <f>IF($C127="","",IFERROR(INDEX('Master Inventory'!$B:$B,MATCH($C127,'Master Inventory'!$A:$A,0)),""))</f>
        <v/>
      </c>
      <c r="E127" s="8">
        <f>IF($C127="","",IFERROR(INDEX('Master Inventory'!$C:$C,MATCH($C127,'Master Inventory'!$A:$A,0)),""))</f>
        <v/>
      </c>
      <c r="F127" s="5" t="n"/>
      <c r="G127" s="5" t="n"/>
    </row>
    <row r="128">
      <c r="A128" s="5" t="n"/>
      <c r="B128" s="12" t="n"/>
      <c r="C128" s="5" t="n"/>
      <c r="D128" s="8">
        <f>IF($C128="","",IFERROR(INDEX('Master Inventory'!$B:$B,MATCH($C128,'Master Inventory'!$A:$A,0)),""))</f>
        <v/>
      </c>
      <c r="E128" s="8">
        <f>IF($C128="","",IFERROR(INDEX('Master Inventory'!$C:$C,MATCH($C128,'Master Inventory'!$A:$A,0)),""))</f>
        <v/>
      </c>
      <c r="F128" s="5" t="n"/>
      <c r="G128" s="5" t="n"/>
    </row>
    <row r="129">
      <c r="A129" s="5" t="n"/>
      <c r="B129" s="12" t="n"/>
      <c r="C129" s="5" t="n"/>
      <c r="D129" s="8">
        <f>IF($C129="","",IFERROR(INDEX('Master Inventory'!$B:$B,MATCH($C129,'Master Inventory'!$A:$A,0)),""))</f>
        <v/>
      </c>
      <c r="E129" s="8">
        <f>IF($C129="","",IFERROR(INDEX('Master Inventory'!$C:$C,MATCH($C129,'Master Inventory'!$A:$A,0)),""))</f>
        <v/>
      </c>
      <c r="F129" s="5" t="n"/>
      <c r="G129" s="5" t="n"/>
    </row>
    <row r="130">
      <c r="A130" s="5" t="n"/>
      <c r="B130" s="12" t="n"/>
      <c r="C130" s="5" t="n"/>
      <c r="D130" s="8">
        <f>IF($C130="","",IFERROR(INDEX('Master Inventory'!$B:$B,MATCH($C130,'Master Inventory'!$A:$A,0)),""))</f>
        <v/>
      </c>
      <c r="E130" s="8">
        <f>IF($C130="","",IFERROR(INDEX('Master Inventory'!$C:$C,MATCH($C130,'Master Inventory'!$A:$A,0)),""))</f>
        <v/>
      </c>
      <c r="F130" s="5" t="n"/>
      <c r="G130" s="5" t="n"/>
    </row>
    <row r="131">
      <c r="A131" s="5" t="n"/>
      <c r="B131" s="12" t="n"/>
      <c r="C131" s="5" t="n"/>
      <c r="D131" s="8">
        <f>IF($C131="","",IFERROR(INDEX('Master Inventory'!$B:$B,MATCH($C131,'Master Inventory'!$A:$A,0)),""))</f>
        <v/>
      </c>
      <c r="E131" s="8">
        <f>IF($C131="","",IFERROR(INDEX('Master Inventory'!$C:$C,MATCH($C131,'Master Inventory'!$A:$A,0)),""))</f>
        <v/>
      </c>
      <c r="F131" s="5" t="n"/>
      <c r="G131" s="5" t="n"/>
    </row>
    <row r="132">
      <c r="A132" s="5" t="n"/>
      <c r="B132" s="12" t="n"/>
      <c r="C132" s="5" t="n"/>
      <c r="D132" s="8">
        <f>IF($C132="","",IFERROR(INDEX('Master Inventory'!$B:$B,MATCH($C132,'Master Inventory'!$A:$A,0)),""))</f>
        <v/>
      </c>
      <c r="E132" s="8">
        <f>IF($C132="","",IFERROR(INDEX('Master Inventory'!$C:$C,MATCH($C132,'Master Inventory'!$A:$A,0)),""))</f>
        <v/>
      </c>
      <c r="F132" s="5" t="n"/>
      <c r="G132" s="5" t="n"/>
    </row>
    <row r="133">
      <c r="A133" s="5" t="n"/>
      <c r="B133" s="12" t="n"/>
      <c r="C133" s="5" t="n"/>
      <c r="D133" s="8">
        <f>IF($C133="","",IFERROR(INDEX('Master Inventory'!$B:$B,MATCH($C133,'Master Inventory'!$A:$A,0)),""))</f>
        <v/>
      </c>
      <c r="E133" s="8">
        <f>IF($C133="","",IFERROR(INDEX('Master Inventory'!$C:$C,MATCH($C133,'Master Inventory'!$A:$A,0)),""))</f>
        <v/>
      </c>
      <c r="F133" s="5" t="n"/>
      <c r="G133" s="5" t="n"/>
    </row>
    <row r="134">
      <c r="A134" s="5" t="n"/>
      <c r="B134" s="12" t="n"/>
      <c r="C134" s="5" t="n"/>
      <c r="D134" s="8">
        <f>IF($C134="","",IFERROR(INDEX('Master Inventory'!$B:$B,MATCH($C134,'Master Inventory'!$A:$A,0)),""))</f>
        <v/>
      </c>
      <c r="E134" s="8">
        <f>IF($C134="","",IFERROR(INDEX('Master Inventory'!$C:$C,MATCH($C134,'Master Inventory'!$A:$A,0)),""))</f>
        <v/>
      </c>
      <c r="F134" s="5" t="n"/>
      <c r="G134" s="5" t="n"/>
    </row>
    <row r="135">
      <c r="A135" s="5" t="n"/>
      <c r="B135" s="12" t="n"/>
      <c r="C135" s="5" t="n"/>
      <c r="D135" s="8">
        <f>IF($C135="","",IFERROR(INDEX('Master Inventory'!$B:$B,MATCH($C135,'Master Inventory'!$A:$A,0)),""))</f>
        <v/>
      </c>
      <c r="E135" s="8">
        <f>IF($C135="","",IFERROR(INDEX('Master Inventory'!$C:$C,MATCH($C135,'Master Inventory'!$A:$A,0)),""))</f>
        <v/>
      </c>
      <c r="F135" s="5" t="n"/>
      <c r="G135" s="5" t="n"/>
    </row>
    <row r="136">
      <c r="A136" s="5" t="n"/>
      <c r="B136" s="12" t="n"/>
      <c r="C136" s="5" t="n"/>
      <c r="D136" s="8">
        <f>IF($C136="","",IFERROR(INDEX('Master Inventory'!$B:$B,MATCH($C136,'Master Inventory'!$A:$A,0)),""))</f>
        <v/>
      </c>
      <c r="E136" s="8">
        <f>IF($C136="","",IFERROR(INDEX('Master Inventory'!$C:$C,MATCH($C136,'Master Inventory'!$A:$A,0)),""))</f>
        <v/>
      </c>
      <c r="F136" s="5" t="n"/>
      <c r="G136" s="5" t="n"/>
    </row>
    <row r="137">
      <c r="A137" s="5" t="n"/>
      <c r="B137" s="12" t="n"/>
      <c r="C137" s="5" t="n"/>
      <c r="D137" s="8">
        <f>IF($C137="","",IFERROR(INDEX('Master Inventory'!$B:$B,MATCH($C137,'Master Inventory'!$A:$A,0)),""))</f>
        <v/>
      </c>
      <c r="E137" s="8">
        <f>IF($C137="","",IFERROR(INDEX('Master Inventory'!$C:$C,MATCH($C137,'Master Inventory'!$A:$A,0)),""))</f>
        <v/>
      </c>
      <c r="F137" s="5" t="n"/>
      <c r="G137" s="5" t="n"/>
    </row>
    <row r="138">
      <c r="A138" s="5" t="n"/>
      <c r="B138" s="12" t="n"/>
      <c r="C138" s="5" t="n"/>
      <c r="D138" s="8">
        <f>IF($C138="","",IFERROR(INDEX('Master Inventory'!$B:$B,MATCH($C138,'Master Inventory'!$A:$A,0)),""))</f>
        <v/>
      </c>
      <c r="E138" s="8">
        <f>IF($C138="","",IFERROR(INDEX('Master Inventory'!$C:$C,MATCH($C138,'Master Inventory'!$A:$A,0)),""))</f>
        <v/>
      </c>
      <c r="F138" s="5" t="n"/>
      <c r="G138" s="5" t="n"/>
    </row>
    <row r="139">
      <c r="A139" s="5" t="n"/>
      <c r="B139" s="12" t="n"/>
      <c r="C139" s="5" t="n"/>
      <c r="D139" s="8">
        <f>IF($C139="","",IFERROR(INDEX('Master Inventory'!$B:$B,MATCH($C139,'Master Inventory'!$A:$A,0)),""))</f>
        <v/>
      </c>
      <c r="E139" s="8">
        <f>IF($C139="","",IFERROR(INDEX('Master Inventory'!$C:$C,MATCH($C139,'Master Inventory'!$A:$A,0)),""))</f>
        <v/>
      </c>
      <c r="F139" s="5" t="n"/>
      <c r="G139" s="5" t="n"/>
    </row>
    <row r="140">
      <c r="A140" s="5" t="n"/>
      <c r="B140" s="12" t="n"/>
      <c r="C140" s="5" t="n"/>
      <c r="D140" s="8">
        <f>IF($C140="","",IFERROR(INDEX('Master Inventory'!$B:$B,MATCH($C140,'Master Inventory'!$A:$A,0)),""))</f>
        <v/>
      </c>
      <c r="E140" s="8">
        <f>IF($C140="","",IFERROR(INDEX('Master Inventory'!$C:$C,MATCH($C140,'Master Inventory'!$A:$A,0)),""))</f>
        <v/>
      </c>
      <c r="F140" s="5" t="n"/>
      <c r="G140" s="5" t="n"/>
    </row>
    <row r="141">
      <c r="A141" s="5" t="n"/>
      <c r="B141" s="12" t="n"/>
      <c r="C141" s="5" t="n"/>
      <c r="D141" s="8">
        <f>IF($C141="","",IFERROR(INDEX('Master Inventory'!$B:$B,MATCH($C141,'Master Inventory'!$A:$A,0)),""))</f>
        <v/>
      </c>
      <c r="E141" s="8">
        <f>IF($C141="","",IFERROR(INDEX('Master Inventory'!$C:$C,MATCH($C141,'Master Inventory'!$A:$A,0)),""))</f>
        <v/>
      </c>
      <c r="F141" s="5" t="n"/>
      <c r="G141" s="5" t="n"/>
    </row>
    <row r="142">
      <c r="A142" s="5" t="n"/>
      <c r="B142" s="12" t="n"/>
      <c r="C142" s="5" t="n"/>
      <c r="D142" s="8">
        <f>IF($C142="","",IFERROR(INDEX('Master Inventory'!$B:$B,MATCH($C142,'Master Inventory'!$A:$A,0)),""))</f>
        <v/>
      </c>
      <c r="E142" s="8">
        <f>IF($C142="","",IFERROR(INDEX('Master Inventory'!$C:$C,MATCH($C142,'Master Inventory'!$A:$A,0)),""))</f>
        <v/>
      </c>
      <c r="F142" s="5" t="n"/>
      <c r="G142" s="5" t="n"/>
    </row>
    <row r="143">
      <c r="A143" s="5" t="n"/>
      <c r="B143" s="12" t="n"/>
      <c r="C143" s="5" t="n"/>
      <c r="D143" s="8">
        <f>IF($C143="","",IFERROR(INDEX('Master Inventory'!$B:$B,MATCH($C143,'Master Inventory'!$A:$A,0)),""))</f>
        <v/>
      </c>
      <c r="E143" s="8">
        <f>IF($C143="","",IFERROR(INDEX('Master Inventory'!$C:$C,MATCH($C143,'Master Inventory'!$A:$A,0)),""))</f>
        <v/>
      </c>
      <c r="F143" s="5" t="n"/>
      <c r="G143" s="5" t="n"/>
    </row>
    <row r="144">
      <c r="A144" s="5" t="n"/>
      <c r="B144" s="12" t="n"/>
      <c r="C144" s="5" t="n"/>
      <c r="D144" s="8">
        <f>IF($C144="","",IFERROR(INDEX('Master Inventory'!$B:$B,MATCH($C144,'Master Inventory'!$A:$A,0)),""))</f>
        <v/>
      </c>
      <c r="E144" s="8">
        <f>IF($C144="","",IFERROR(INDEX('Master Inventory'!$C:$C,MATCH($C144,'Master Inventory'!$A:$A,0)),""))</f>
        <v/>
      </c>
      <c r="F144" s="5" t="n"/>
      <c r="G144" s="5" t="n"/>
    </row>
    <row r="145">
      <c r="A145" s="5" t="n"/>
      <c r="B145" s="12" t="n"/>
      <c r="C145" s="5" t="n"/>
      <c r="D145" s="8">
        <f>IF($C145="","",IFERROR(INDEX('Master Inventory'!$B:$B,MATCH($C145,'Master Inventory'!$A:$A,0)),""))</f>
        <v/>
      </c>
      <c r="E145" s="8">
        <f>IF($C145="","",IFERROR(INDEX('Master Inventory'!$C:$C,MATCH($C145,'Master Inventory'!$A:$A,0)),""))</f>
        <v/>
      </c>
      <c r="F145" s="5" t="n"/>
      <c r="G145" s="5" t="n"/>
    </row>
    <row r="146">
      <c r="A146" s="5" t="n"/>
      <c r="B146" s="12" t="n"/>
      <c r="C146" s="5" t="n"/>
      <c r="D146" s="8">
        <f>IF($C146="","",IFERROR(INDEX('Master Inventory'!$B:$B,MATCH($C146,'Master Inventory'!$A:$A,0)),""))</f>
        <v/>
      </c>
      <c r="E146" s="8">
        <f>IF($C146="","",IFERROR(INDEX('Master Inventory'!$C:$C,MATCH($C146,'Master Inventory'!$A:$A,0)),""))</f>
        <v/>
      </c>
      <c r="F146" s="5" t="n"/>
      <c r="G146" s="5" t="n"/>
    </row>
    <row r="147">
      <c r="A147" s="5" t="n"/>
      <c r="B147" s="12" t="n"/>
      <c r="C147" s="5" t="n"/>
      <c r="D147" s="8">
        <f>IF($C147="","",IFERROR(INDEX('Master Inventory'!$B:$B,MATCH($C147,'Master Inventory'!$A:$A,0)),""))</f>
        <v/>
      </c>
      <c r="E147" s="8">
        <f>IF($C147="","",IFERROR(INDEX('Master Inventory'!$C:$C,MATCH($C147,'Master Inventory'!$A:$A,0)),""))</f>
        <v/>
      </c>
      <c r="F147" s="5" t="n"/>
      <c r="G147" s="5" t="n"/>
    </row>
    <row r="148">
      <c r="A148" s="5" t="n"/>
      <c r="B148" s="12" t="n"/>
      <c r="C148" s="5" t="n"/>
      <c r="D148" s="8">
        <f>IF($C148="","",IFERROR(INDEX('Master Inventory'!$B:$B,MATCH($C148,'Master Inventory'!$A:$A,0)),""))</f>
        <v/>
      </c>
      <c r="E148" s="8">
        <f>IF($C148="","",IFERROR(INDEX('Master Inventory'!$C:$C,MATCH($C148,'Master Inventory'!$A:$A,0)),""))</f>
        <v/>
      </c>
      <c r="F148" s="5" t="n"/>
      <c r="G148" s="5" t="n"/>
    </row>
    <row r="149">
      <c r="A149" s="5" t="n"/>
      <c r="B149" s="12" t="n"/>
      <c r="C149" s="5" t="n"/>
      <c r="D149" s="8">
        <f>IF($C149="","",IFERROR(INDEX('Master Inventory'!$B:$B,MATCH($C149,'Master Inventory'!$A:$A,0)),""))</f>
        <v/>
      </c>
      <c r="E149" s="8">
        <f>IF($C149="","",IFERROR(INDEX('Master Inventory'!$C:$C,MATCH($C149,'Master Inventory'!$A:$A,0)),""))</f>
        <v/>
      </c>
      <c r="F149" s="5" t="n"/>
      <c r="G149" s="5" t="n"/>
    </row>
    <row r="150">
      <c r="A150" s="5" t="n"/>
      <c r="B150" s="12" t="n"/>
      <c r="C150" s="5" t="n"/>
      <c r="D150" s="8">
        <f>IF($C150="","",IFERROR(INDEX('Master Inventory'!$B:$B,MATCH($C150,'Master Inventory'!$A:$A,0)),""))</f>
        <v/>
      </c>
      <c r="E150" s="8">
        <f>IF($C150="","",IFERROR(INDEX('Master Inventory'!$C:$C,MATCH($C150,'Master Inventory'!$A:$A,0)),""))</f>
        <v/>
      </c>
      <c r="F150" s="5" t="n"/>
      <c r="G150" s="5" t="n"/>
    </row>
    <row r="151">
      <c r="A151" s="5" t="n"/>
      <c r="B151" s="12" t="n"/>
      <c r="C151" s="5" t="n"/>
      <c r="D151" s="8">
        <f>IF($C151="","",IFERROR(INDEX('Master Inventory'!$B:$B,MATCH($C151,'Master Inventory'!$A:$A,0)),""))</f>
        <v/>
      </c>
      <c r="E151" s="8">
        <f>IF($C151="","",IFERROR(INDEX('Master Inventory'!$C:$C,MATCH($C151,'Master Inventory'!$A:$A,0)),""))</f>
        <v/>
      </c>
      <c r="F151" s="5" t="n"/>
      <c r="G151" s="5" t="n"/>
    </row>
    <row r="152">
      <c r="A152" s="5" t="n"/>
      <c r="B152" s="12" t="n"/>
      <c r="C152" s="5" t="n"/>
      <c r="D152" s="8">
        <f>IF($C152="","",IFERROR(INDEX('Master Inventory'!$B:$B,MATCH($C152,'Master Inventory'!$A:$A,0)),""))</f>
        <v/>
      </c>
      <c r="E152" s="8">
        <f>IF($C152="","",IFERROR(INDEX('Master Inventory'!$C:$C,MATCH($C152,'Master Inventory'!$A:$A,0)),""))</f>
        <v/>
      </c>
      <c r="F152" s="5" t="n"/>
      <c r="G152" s="5" t="n"/>
    </row>
    <row r="153">
      <c r="A153" s="5" t="n"/>
      <c r="B153" s="12" t="n"/>
      <c r="C153" s="5" t="n"/>
      <c r="D153" s="8">
        <f>IF($C153="","",IFERROR(INDEX('Master Inventory'!$B:$B,MATCH($C153,'Master Inventory'!$A:$A,0)),""))</f>
        <v/>
      </c>
      <c r="E153" s="8">
        <f>IF($C153="","",IFERROR(INDEX('Master Inventory'!$C:$C,MATCH($C153,'Master Inventory'!$A:$A,0)),""))</f>
        <v/>
      </c>
      <c r="F153" s="5" t="n"/>
      <c r="G153" s="5" t="n"/>
    </row>
    <row r="154">
      <c r="A154" s="5" t="n"/>
      <c r="B154" s="12" t="n"/>
      <c r="C154" s="5" t="n"/>
      <c r="D154" s="8">
        <f>IF($C154="","",IFERROR(INDEX('Master Inventory'!$B:$B,MATCH($C154,'Master Inventory'!$A:$A,0)),""))</f>
        <v/>
      </c>
      <c r="E154" s="8">
        <f>IF($C154="","",IFERROR(INDEX('Master Inventory'!$C:$C,MATCH($C154,'Master Inventory'!$A:$A,0)),""))</f>
        <v/>
      </c>
      <c r="F154" s="5" t="n"/>
      <c r="G154" s="5" t="n"/>
    </row>
    <row r="155">
      <c r="A155" s="5" t="n"/>
      <c r="B155" s="12" t="n"/>
      <c r="C155" s="5" t="n"/>
      <c r="D155" s="8">
        <f>IF($C155="","",IFERROR(INDEX('Master Inventory'!$B:$B,MATCH($C155,'Master Inventory'!$A:$A,0)),""))</f>
        <v/>
      </c>
      <c r="E155" s="8">
        <f>IF($C155="","",IFERROR(INDEX('Master Inventory'!$C:$C,MATCH($C155,'Master Inventory'!$A:$A,0)),""))</f>
        <v/>
      </c>
      <c r="F155" s="5" t="n"/>
      <c r="G155" s="5" t="n"/>
    </row>
    <row r="156">
      <c r="A156" s="5" t="n"/>
      <c r="B156" s="12" t="n"/>
      <c r="C156" s="5" t="n"/>
      <c r="D156" s="8">
        <f>IF($C156="","",IFERROR(INDEX('Master Inventory'!$B:$B,MATCH($C156,'Master Inventory'!$A:$A,0)),""))</f>
        <v/>
      </c>
      <c r="E156" s="8">
        <f>IF($C156="","",IFERROR(INDEX('Master Inventory'!$C:$C,MATCH($C156,'Master Inventory'!$A:$A,0)),""))</f>
        <v/>
      </c>
      <c r="F156" s="5" t="n"/>
      <c r="G156" s="5" t="n"/>
    </row>
    <row r="157">
      <c r="A157" s="5" t="n"/>
      <c r="B157" s="12" t="n"/>
      <c r="C157" s="5" t="n"/>
      <c r="D157" s="8">
        <f>IF($C157="","",IFERROR(INDEX('Master Inventory'!$B:$B,MATCH($C157,'Master Inventory'!$A:$A,0)),""))</f>
        <v/>
      </c>
      <c r="E157" s="8">
        <f>IF($C157="","",IFERROR(INDEX('Master Inventory'!$C:$C,MATCH($C157,'Master Inventory'!$A:$A,0)),""))</f>
        <v/>
      </c>
      <c r="F157" s="5" t="n"/>
      <c r="G157" s="5" t="n"/>
    </row>
    <row r="158">
      <c r="A158" s="5" t="n"/>
      <c r="B158" s="12" t="n"/>
      <c r="C158" s="5" t="n"/>
      <c r="D158" s="8">
        <f>IF($C158="","",IFERROR(INDEX('Master Inventory'!$B:$B,MATCH($C158,'Master Inventory'!$A:$A,0)),""))</f>
        <v/>
      </c>
      <c r="E158" s="8">
        <f>IF($C158="","",IFERROR(INDEX('Master Inventory'!$C:$C,MATCH($C158,'Master Inventory'!$A:$A,0)),""))</f>
        <v/>
      </c>
      <c r="F158" s="5" t="n"/>
      <c r="G158" s="5" t="n"/>
    </row>
    <row r="159">
      <c r="A159" s="5" t="n"/>
      <c r="B159" s="12" t="n"/>
      <c r="C159" s="5" t="n"/>
      <c r="D159" s="8">
        <f>IF($C159="","",IFERROR(INDEX('Master Inventory'!$B:$B,MATCH($C159,'Master Inventory'!$A:$A,0)),""))</f>
        <v/>
      </c>
      <c r="E159" s="8">
        <f>IF($C159="","",IFERROR(INDEX('Master Inventory'!$C:$C,MATCH($C159,'Master Inventory'!$A:$A,0)),""))</f>
        <v/>
      </c>
      <c r="F159" s="5" t="n"/>
      <c r="G159" s="5" t="n"/>
    </row>
    <row r="160">
      <c r="A160" s="5" t="n"/>
      <c r="B160" s="12" t="n"/>
      <c r="C160" s="5" t="n"/>
      <c r="D160" s="8">
        <f>IF($C160="","",IFERROR(INDEX('Master Inventory'!$B:$B,MATCH($C160,'Master Inventory'!$A:$A,0)),""))</f>
        <v/>
      </c>
      <c r="E160" s="8">
        <f>IF($C160="","",IFERROR(INDEX('Master Inventory'!$C:$C,MATCH($C160,'Master Inventory'!$A:$A,0)),""))</f>
        <v/>
      </c>
      <c r="F160" s="5" t="n"/>
      <c r="G160" s="5" t="n"/>
    </row>
    <row r="161">
      <c r="A161" s="5" t="n"/>
      <c r="B161" s="12" t="n"/>
      <c r="C161" s="5" t="n"/>
      <c r="D161" s="8">
        <f>IF($C161="","",IFERROR(INDEX('Master Inventory'!$B:$B,MATCH($C161,'Master Inventory'!$A:$A,0)),""))</f>
        <v/>
      </c>
      <c r="E161" s="8">
        <f>IF($C161="","",IFERROR(INDEX('Master Inventory'!$C:$C,MATCH($C161,'Master Inventory'!$A:$A,0)),""))</f>
        <v/>
      </c>
      <c r="F161" s="5" t="n"/>
      <c r="G161" s="5" t="n"/>
    </row>
    <row r="162">
      <c r="A162" s="5" t="n"/>
      <c r="B162" s="12" t="n"/>
      <c r="C162" s="5" t="n"/>
      <c r="D162" s="8">
        <f>IF($C162="","",IFERROR(INDEX('Master Inventory'!$B:$B,MATCH($C162,'Master Inventory'!$A:$A,0)),""))</f>
        <v/>
      </c>
      <c r="E162" s="8">
        <f>IF($C162="","",IFERROR(INDEX('Master Inventory'!$C:$C,MATCH($C162,'Master Inventory'!$A:$A,0)),""))</f>
        <v/>
      </c>
      <c r="F162" s="5" t="n"/>
      <c r="G162" s="5" t="n"/>
    </row>
    <row r="163">
      <c r="A163" s="5" t="n"/>
      <c r="B163" s="12" t="n"/>
      <c r="C163" s="5" t="n"/>
      <c r="D163" s="8">
        <f>IF($C163="","",IFERROR(INDEX('Master Inventory'!$B:$B,MATCH($C163,'Master Inventory'!$A:$A,0)),""))</f>
        <v/>
      </c>
      <c r="E163" s="8">
        <f>IF($C163="","",IFERROR(INDEX('Master Inventory'!$C:$C,MATCH($C163,'Master Inventory'!$A:$A,0)),""))</f>
        <v/>
      </c>
      <c r="F163" s="5" t="n"/>
      <c r="G163" s="5" t="n"/>
    </row>
    <row r="164">
      <c r="A164" s="5" t="n"/>
      <c r="B164" s="12" t="n"/>
      <c r="C164" s="5" t="n"/>
      <c r="D164" s="8">
        <f>IF($C164="","",IFERROR(INDEX('Master Inventory'!$B:$B,MATCH($C164,'Master Inventory'!$A:$A,0)),""))</f>
        <v/>
      </c>
      <c r="E164" s="8">
        <f>IF($C164="","",IFERROR(INDEX('Master Inventory'!$C:$C,MATCH($C164,'Master Inventory'!$A:$A,0)),""))</f>
        <v/>
      </c>
      <c r="F164" s="5" t="n"/>
      <c r="G164" s="5" t="n"/>
    </row>
    <row r="165">
      <c r="A165" s="5" t="n"/>
      <c r="B165" s="12" t="n"/>
      <c r="C165" s="5" t="n"/>
      <c r="D165" s="8">
        <f>IF($C165="","",IFERROR(INDEX('Master Inventory'!$B:$B,MATCH($C165,'Master Inventory'!$A:$A,0)),""))</f>
        <v/>
      </c>
      <c r="E165" s="8">
        <f>IF($C165="","",IFERROR(INDEX('Master Inventory'!$C:$C,MATCH($C165,'Master Inventory'!$A:$A,0)),""))</f>
        <v/>
      </c>
      <c r="F165" s="5" t="n"/>
      <c r="G165" s="5" t="n"/>
    </row>
    <row r="166">
      <c r="A166" s="5" t="n"/>
      <c r="B166" s="12" t="n"/>
      <c r="C166" s="5" t="n"/>
      <c r="D166" s="8">
        <f>IF($C166="","",IFERROR(INDEX('Master Inventory'!$B:$B,MATCH($C166,'Master Inventory'!$A:$A,0)),""))</f>
        <v/>
      </c>
      <c r="E166" s="8">
        <f>IF($C166="","",IFERROR(INDEX('Master Inventory'!$C:$C,MATCH($C166,'Master Inventory'!$A:$A,0)),""))</f>
        <v/>
      </c>
      <c r="F166" s="5" t="n"/>
      <c r="G166" s="5" t="n"/>
    </row>
    <row r="167">
      <c r="A167" s="5" t="n"/>
      <c r="B167" s="12" t="n"/>
      <c r="C167" s="5" t="n"/>
      <c r="D167" s="8">
        <f>IF($C167="","",IFERROR(INDEX('Master Inventory'!$B:$B,MATCH($C167,'Master Inventory'!$A:$A,0)),""))</f>
        <v/>
      </c>
      <c r="E167" s="8">
        <f>IF($C167="","",IFERROR(INDEX('Master Inventory'!$C:$C,MATCH($C167,'Master Inventory'!$A:$A,0)),""))</f>
        <v/>
      </c>
      <c r="F167" s="5" t="n"/>
      <c r="G167" s="5" t="n"/>
    </row>
    <row r="168">
      <c r="A168" s="5" t="n"/>
      <c r="B168" s="12" t="n"/>
      <c r="C168" s="5" t="n"/>
      <c r="D168" s="8">
        <f>IF($C168="","",IFERROR(INDEX('Master Inventory'!$B:$B,MATCH($C168,'Master Inventory'!$A:$A,0)),""))</f>
        <v/>
      </c>
      <c r="E168" s="8">
        <f>IF($C168="","",IFERROR(INDEX('Master Inventory'!$C:$C,MATCH($C168,'Master Inventory'!$A:$A,0)),""))</f>
        <v/>
      </c>
      <c r="F168" s="5" t="n"/>
      <c r="G168" s="5" t="n"/>
    </row>
    <row r="169">
      <c r="A169" s="5" t="n"/>
      <c r="B169" s="12" t="n"/>
      <c r="C169" s="5" t="n"/>
      <c r="D169" s="8">
        <f>IF($C169="","",IFERROR(INDEX('Master Inventory'!$B:$B,MATCH($C169,'Master Inventory'!$A:$A,0)),""))</f>
        <v/>
      </c>
      <c r="E169" s="8">
        <f>IF($C169="","",IFERROR(INDEX('Master Inventory'!$C:$C,MATCH($C169,'Master Inventory'!$A:$A,0)),""))</f>
        <v/>
      </c>
      <c r="F169" s="5" t="n"/>
      <c r="G169" s="5" t="n"/>
    </row>
    <row r="170">
      <c r="A170" s="5" t="n"/>
      <c r="B170" s="12" t="n"/>
      <c r="C170" s="5" t="n"/>
      <c r="D170" s="8">
        <f>IF($C170="","",IFERROR(INDEX('Master Inventory'!$B:$B,MATCH($C170,'Master Inventory'!$A:$A,0)),""))</f>
        <v/>
      </c>
      <c r="E170" s="8">
        <f>IF($C170="","",IFERROR(INDEX('Master Inventory'!$C:$C,MATCH($C170,'Master Inventory'!$A:$A,0)),""))</f>
        <v/>
      </c>
      <c r="F170" s="5" t="n"/>
      <c r="G170" s="5" t="n"/>
    </row>
    <row r="171">
      <c r="A171" s="5" t="n"/>
      <c r="B171" s="12" t="n"/>
      <c r="C171" s="5" t="n"/>
      <c r="D171" s="8">
        <f>IF($C171="","",IFERROR(INDEX('Master Inventory'!$B:$B,MATCH($C171,'Master Inventory'!$A:$A,0)),""))</f>
        <v/>
      </c>
      <c r="E171" s="8">
        <f>IF($C171="","",IFERROR(INDEX('Master Inventory'!$C:$C,MATCH($C171,'Master Inventory'!$A:$A,0)),""))</f>
        <v/>
      </c>
      <c r="F171" s="5" t="n"/>
      <c r="G171" s="5" t="n"/>
    </row>
    <row r="172">
      <c r="A172" s="5" t="n"/>
      <c r="B172" s="12" t="n"/>
      <c r="C172" s="5" t="n"/>
      <c r="D172" s="8">
        <f>IF($C172="","",IFERROR(INDEX('Master Inventory'!$B:$B,MATCH($C172,'Master Inventory'!$A:$A,0)),""))</f>
        <v/>
      </c>
      <c r="E172" s="8">
        <f>IF($C172="","",IFERROR(INDEX('Master Inventory'!$C:$C,MATCH($C172,'Master Inventory'!$A:$A,0)),""))</f>
        <v/>
      </c>
      <c r="F172" s="5" t="n"/>
      <c r="G172" s="5" t="n"/>
    </row>
    <row r="173">
      <c r="A173" s="5" t="n"/>
      <c r="B173" s="12" t="n"/>
      <c r="C173" s="5" t="n"/>
      <c r="D173" s="8">
        <f>IF($C173="","",IFERROR(INDEX('Master Inventory'!$B:$B,MATCH($C173,'Master Inventory'!$A:$A,0)),""))</f>
        <v/>
      </c>
      <c r="E173" s="8">
        <f>IF($C173="","",IFERROR(INDEX('Master Inventory'!$C:$C,MATCH($C173,'Master Inventory'!$A:$A,0)),""))</f>
        <v/>
      </c>
      <c r="F173" s="5" t="n"/>
      <c r="G173" s="5" t="n"/>
    </row>
    <row r="174">
      <c r="A174" s="5" t="n"/>
      <c r="B174" s="12" t="n"/>
      <c r="C174" s="5" t="n"/>
      <c r="D174" s="8">
        <f>IF($C174="","",IFERROR(INDEX('Master Inventory'!$B:$B,MATCH($C174,'Master Inventory'!$A:$A,0)),""))</f>
        <v/>
      </c>
      <c r="E174" s="8">
        <f>IF($C174="","",IFERROR(INDEX('Master Inventory'!$C:$C,MATCH($C174,'Master Inventory'!$A:$A,0)),""))</f>
        <v/>
      </c>
      <c r="F174" s="5" t="n"/>
      <c r="G174" s="5" t="n"/>
    </row>
    <row r="175">
      <c r="A175" s="5" t="n"/>
      <c r="B175" s="12" t="n"/>
      <c r="C175" s="5" t="n"/>
      <c r="D175" s="8">
        <f>IF($C175="","",IFERROR(INDEX('Master Inventory'!$B:$B,MATCH($C175,'Master Inventory'!$A:$A,0)),""))</f>
        <v/>
      </c>
      <c r="E175" s="8">
        <f>IF($C175="","",IFERROR(INDEX('Master Inventory'!$C:$C,MATCH($C175,'Master Inventory'!$A:$A,0)),""))</f>
        <v/>
      </c>
      <c r="F175" s="5" t="n"/>
      <c r="G175" s="5" t="n"/>
    </row>
    <row r="176">
      <c r="A176" s="5" t="n"/>
      <c r="B176" s="12" t="n"/>
      <c r="C176" s="5" t="n"/>
      <c r="D176" s="8">
        <f>IF($C176="","",IFERROR(INDEX('Master Inventory'!$B:$B,MATCH($C176,'Master Inventory'!$A:$A,0)),""))</f>
        <v/>
      </c>
      <c r="E176" s="8">
        <f>IF($C176="","",IFERROR(INDEX('Master Inventory'!$C:$C,MATCH($C176,'Master Inventory'!$A:$A,0)),""))</f>
        <v/>
      </c>
      <c r="F176" s="5" t="n"/>
      <c r="G176" s="5" t="n"/>
    </row>
    <row r="177">
      <c r="A177" s="5" t="n"/>
      <c r="B177" s="12" t="n"/>
      <c r="C177" s="5" t="n"/>
      <c r="D177" s="8">
        <f>IF($C177="","",IFERROR(INDEX('Master Inventory'!$B:$B,MATCH($C177,'Master Inventory'!$A:$A,0)),""))</f>
        <v/>
      </c>
      <c r="E177" s="8">
        <f>IF($C177="","",IFERROR(INDEX('Master Inventory'!$C:$C,MATCH($C177,'Master Inventory'!$A:$A,0)),""))</f>
        <v/>
      </c>
      <c r="F177" s="5" t="n"/>
      <c r="G177" s="5" t="n"/>
    </row>
    <row r="178">
      <c r="A178" s="5" t="n"/>
      <c r="B178" s="12" t="n"/>
      <c r="C178" s="5" t="n"/>
      <c r="D178" s="8">
        <f>IF($C178="","",IFERROR(INDEX('Master Inventory'!$B:$B,MATCH($C178,'Master Inventory'!$A:$A,0)),""))</f>
        <v/>
      </c>
      <c r="E178" s="8">
        <f>IF($C178="","",IFERROR(INDEX('Master Inventory'!$C:$C,MATCH($C178,'Master Inventory'!$A:$A,0)),""))</f>
        <v/>
      </c>
      <c r="F178" s="5" t="n"/>
      <c r="G178" s="5" t="n"/>
    </row>
    <row r="179">
      <c r="A179" s="5" t="n"/>
      <c r="B179" s="12" t="n"/>
      <c r="C179" s="5" t="n"/>
      <c r="D179" s="8">
        <f>IF($C179="","",IFERROR(INDEX('Master Inventory'!$B:$B,MATCH($C179,'Master Inventory'!$A:$A,0)),""))</f>
        <v/>
      </c>
      <c r="E179" s="8">
        <f>IF($C179="","",IFERROR(INDEX('Master Inventory'!$C:$C,MATCH($C179,'Master Inventory'!$A:$A,0)),""))</f>
        <v/>
      </c>
      <c r="F179" s="5" t="n"/>
      <c r="G179" s="5" t="n"/>
    </row>
    <row r="180">
      <c r="A180" s="5" t="n"/>
      <c r="B180" s="12" t="n"/>
      <c r="C180" s="5" t="n"/>
      <c r="D180" s="8">
        <f>IF($C180="","",IFERROR(INDEX('Master Inventory'!$B:$B,MATCH($C180,'Master Inventory'!$A:$A,0)),""))</f>
        <v/>
      </c>
      <c r="E180" s="8">
        <f>IF($C180="","",IFERROR(INDEX('Master Inventory'!$C:$C,MATCH($C180,'Master Inventory'!$A:$A,0)),""))</f>
        <v/>
      </c>
      <c r="F180" s="5" t="n"/>
      <c r="G180" s="5" t="n"/>
    </row>
    <row r="181">
      <c r="A181" s="5" t="n"/>
      <c r="B181" s="12" t="n"/>
      <c r="C181" s="5" t="n"/>
      <c r="D181" s="8">
        <f>IF($C181="","",IFERROR(INDEX('Master Inventory'!$B:$B,MATCH($C181,'Master Inventory'!$A:$A,0)),""))</f>
        <v/>
      </c>
      <c r="E181" s="8">
        <f>IF($C181="","",IFERROR(INDEX('Master Inventory'!$C:$C,MATCH($C181,'Master Inventory'!$A:$A,0)),""))</f>
        <v/>
      </c>
      <c r="F181" s="5" t="n"/>
      <c r="G181" s="5" t="n"/>
    </row>
    <row r="182">
      <c r="A182" s="5" t="n"/>
      <c r="B182" s="12" t="n"/>
      <c r="C182" s="5" t="n"/>
      <c r="D182" s="8">
        <f>IF($C182="","",IFERROR(INDEX('Master Inventory'!$B:$B,MATCH($C182,'Master Inventory'!$A:$A,0)),""))</f>
        <v/>
      </c>
      <c r="E182" s="8">
        <f>IF($C182="","",IFERROR(INDEX('Master Inventory'!$C:$C,MATCH($C182,'Master Inventory'!$A:$A,0)),""))</f>
        <v/>
      </c>
      <c r="F182" s="5" t="n"/>
      <c r="G182" s="5" t="n"/>
    </row>
    <row r="183">
      <c r="A183" s="5" t="n"/>
      <c r="B183" s="12" t="n"/>
      <c r="C183" s="5" t="n"/>
      <c r="D183" s="8">
        <f>IF($C183="","",IFERROR(INDEX('Master Inventory'!$B:$B,MATCH($C183,'Master Inventory'!$A:$A,0)),""))</f>
        <v/>
      </c>
      <c r="E183" s="8">
        <f>IF($C183="","",IFERROR(INDEX('Master Inventory'!$C:$C,MATCH($C183,'Master Inventory'!$A:$A,0)),""))</f>
        <v/>
      </c>
      <c r="F183" s="5" t="n"/>
      <c r="G183" s="5" t="n"/>
    </row>
    <row r="184">
      <c r="A184" s="5" t="n"/>
      <c r="B184" s="12" t="n"/>
      <c r="C184" s="5" t="n"/>
      <c r="D184" s="8">
        <f>IF($C184="","",IFERROR(INDEX('Master Inventory'!$B:$B,MATCH($C184,'Master Inventory'!$A:$A,0)),""))</f>
        <v/>
      </c>
      <c r="E184" s="8">
        <f>IF($C184="","",IFERROR(INDEX('Master Inventory'!$C:$C,MATCH($C184,'Master Inventory'!$A:$A,0)),""))</f>
        <v/>
      </c>
      <c r="F184" s="5" t="n"/>
      <c r="G184" s="5" t="n"/>
    </row>
    <row r="185">
      <c r="A185" s="5" t="n"/>
      <c r="B185" s="12" t="n"/>
      <c r="C185" s="5" t="n"/>
      <c r="D185" s="8">
        <f>IF($C185="","",IFERROR(INDEX('Master Inventory'!$B:$B,MATCH($C185,'Master Inventory'!$A:$A,0)),""))</f>
        <v/>
      </c>
      <c r="E185" s="8">
        <f>IF($C185="","",IFERROR(INDEX('Master Inventory'!$C:$C,MATCH($C185,'Master Inventory'!$A:$A,0)),""))</f>
        <v/>
      </c>
      <c r="F185" s="5" t="n"/>
      <c r="G185" s="5" t="n"/>
    </row>
    <row r="186">
      <c r="A186" s="5" t="n"/>
      <c r="B186" s="12" t="n"/>
      <c r="C186" s="5" t="n"/>
      <c r="D186" s="8">
        <f>IF($C186="","",IFERROR(INDEX('Master Inventory'!$B:$B,MATCH($C186,'Master Inventory'!$A:$A,0)),""))</f>
        <v/>
      </c>
      <c r="E186" s="8">
        <f>IF($C186="","",IFERROR(INDEX('Master Inventory'!$C:$C,MATCH($C186,'Master Inventory'!$A:$A,0)),""))</f>
        <v/>
      </c>
      <c r="F186" s="5" t="n"/>
      <c r="G186" s="5" t="n"/>
    </row>
    <row r="187">
      <c r="A187" s="5" t="n"/>
      <c r="B187" s="12" t="n"/>
      <c r="C187" s="5" t="n"/>
      <c r="D187" s="8">
        <f>IF($C187="","",IFERROR(INDEX('Master Inventory'!$B:$B,MATCH($C187,'Master Inventory'!$A:$A,0)),""))</f>
        <v/>
      </c>
      <c r="E187" s="8">
        <f>IF($C187="","",IFERROR(INDEX('Master Inventory'!$C:$C,MATCH($C187,'Master Inventory'!$A:$A,0)),""))</f>
        <v/>
      </c>
      <c r="F187" s="5" t="n"/>
      <c r="G187" s="5" t="n"/>
    </row>
    <row r="188">
      <c r="A188" s="5" t="n"/>
      <c r="B188" s="12" t="n"/>
      <c r="C188" s="5" t="n"/>
      <c r="D188" s="8">
        <f>IF($C188="","",IFERROR(INDEX('Master Inventory'!$B:$B,MATCH($C188,'Master Inventory'!$A:$A,0)),""))</f>
        <v/>
      </c>
      <c r="E188" s="8">
        <f>IF($C188="","",IFERROR(INDEX('Master Inventory'!$C:$C,MATCH($C188,'Master Inventory'!$A:$A,0)),""))</f>
        <v/>
      </c>
      <c r="F188" s="5" t="n"/>
      <c r="G188" s="5" t="n"/>
    </row>
    <row r="189">
      <c r="A189" s="5" t="n"/>
      <c r="B189" s="12" t="n"/>
      <c r="C189" s="5" t="n"/>
      <c r="D189" s="8">
        <f>IF($C189="","",IFERROR(INDEX('Master Inventory'!$B:$B,MATCH($C189,'Master Inventory'!$A:$A,0)),""))</f>
        <v/>
      </c>
      <c r="E189" s="8">
        <f>IF($C189="","",IFERROR(INDEX('Master Inventory'!$C:$C,MATCH($C189,'Master Inventory'!$A:$A,0)),""))</f>
        <v/>
      </c>
      <c r="F189" s="5" t="n"/>
      <c r="G189" s="5" t="n"/>
    </row>
    <row r="190">
      <c r="A190" s="5" t="n"/>
      <c r="B190" s="12" t="n"/>
      <c r="C190" s="5" t="n"/>
      <c r="D190" s="8">
        <f>IF($C190="","",IFERROR(INDEX('Master Inventory'!$B:$B,MATCH($C190,'Master Inventory'!$A:$A,0)),""))</f>
        <v/>
      </c>
      <c r="E190" s="8">
        <f>IF($C190="","",IFERROR(INDEX('Master Inventory'!$C:$C,MATCH($C190,'Master Inventory'!$A:$A,0)),""))</f>
        <v/>
      </c>
      <c r="F190" s="5" t="n"/>
      <c r="G190" s="5" t="n"/>
    </row>
    <row r="191">
      <c r="A191" s="5" t="n"/>
      <c r="B191" s="12" t="n"/>
      <c r="C191" s="5" t="n"/>
      <c r="D191" s="8">
        <f>IF($C191="","",IFERROR(INDEX('Master Inventory'!$B:$B,MATCH($C191,'Master Inventory'!$A:$A,0)),""))</f>
        <v/>
      </c>
      <c r="E191" s="8">
        <f>IF($C191="","",IFERROR(INDEX('Master Inventory'!$C:$C,MATCH($C191,'Master Inventory'!$A:$A,0)),""))</f>
        <v/>
      </c>
      <c r="F191" s="5" t="n"/>
      <c r="G191" s="5" t="n"/>
    </row>
    <row r="192">
      <c r="A192" s="5" t="n"/>
      <c r="B192" s="12" t="n"/>
      <c r="C192" s="5" t="n"/>
      <c r="D192" s="8">
        <f>IF($C192="","",IFERROR(INDEX('Master Inventory'!$B:$B,MATCH($C192,'Master Inventory'!$A:$A,0)),""))</f>
        <v/>
      </c>
      <c r="E192" s="8">
        <f>IF($C192="","",IFERROR(INDEX('Master Inventory'!$C:$C,MATCH($C192,'Master Inventory'!$A:$A,0)),""))</f>
        <v/>
      </c>
      <c r="F192" s="5" t="n"/>
      <c r="G192" s="5" t="n"/>
    </row>
    <row r="193">
      <c r="A193" s="5" t="n"/>
      <c r="B193" s="12" t="n"/>
      <c r="C193" s="5" t="n"/>
      <c r="D193" s="8">
        <f>IF($C193="","",IFERROR(INDEX('Master Inventory'!$B:$B,MATCH($C193,'Master Inventory'!$A:$A,0)),""))</f>
        <v/>
      </c>
      <c r="E193" s="8">
        <f>IF($C193="","",IFERROR(INDEX('Master Inventory'!$C:$C,MATCH($C193,'Master Inventory'!$A:$A,0)),""))</f>
        <v/>
      </c>
      <c r="F193" s="5" t="n"/>
      <c r="G193" s="5" t="n"/>
    </row>
    <row r="194">
      <c r="A194" s="5" t="n"/>
      <c r="B194" s="12" t="n"/>
      <c r="C194" s="5" t="n"/>
      <c r="D194" s="8">
        <f>IF($C194="","",IFERROR(INDEX('Master Inventory'!$B:$B,MATCH($C194,'Master Inventory'!$A:$A,0)),""))</f>
        <v/>
      </c>
      <c r="E194" s="8">
        <f>IF($C194="","",IFERROR(INDEX('Master Inventory'!$C:$C,MATCH($C194,'Master Inventory'!$A:$A,0)),""))</f>
        <v/>
      </c>
      <c r="F194" s="5" t="n"/>
      <c r="G194" s="5" t="n"/>
    </row>
    <row r="195">
      <c r="A195" s="5" t="n"/>
      <c r="B195" s="12" t="n"/>
      <c r="C195" s="5" t="n"/>
      <c r="D195" s="8">
        <f>IF($C195="","",IFERROR(INDEX('Master Inventory'!$B:$B,MATCH($C195,'Master Inventory'!$A:$A,0)),""))</f>
        <v/>
      </c>
      <c r="E195" s="8">
        <f>IF($C195="","",IFERROR(INDEX('Master Inventory'!$C:$C,MATCH($C195,'Master Inventory'!$A:$A,0)),""))</f>
        <v/>
      </c>
      <c r="F195" s="5" t="n"/>
      <c r="G195" s="5" t="n"/>
    </row>
    <row r="196">
      <c r="A196" s="5" t="n"/>
      <c r="B196" s="12" t="n"/>
      <c r="C196" s="5" t="n"/>
      <c r="D196" s="8">
        <f>IF($C196="","",IFERROR(INDEX('Master Inventory'!$B:$B,MATCH($C196,'Master Inventory'!$A:$A,0)),""))</f>
        <v/>
      </c>
      <c r="E196" s="8">
        <f>IF($C196="","",IFERROR(INDEX('Master Inventory'!$C:$C,MATCH($C196,'Master Inventory'!$A:$A,0)),""))</f>
        <v/>
      </c>
      <c r="F196" s="5" t="n"/>
      <c r="G196" s="5" t="n"/>
    </row>
    <row r="197">
      <c r="A197" s="5" t="n"/>
      <c r="B197" s="12" t="n"/>
      <c r="C197" s="5" t="n"/>
      <c r="D197" s="8">
        <f>IF($C197="","",IFERROR(INDEX('Master Inventory'!$B:$B,MATCH($C197,'Master Inventory'!$A:$A,0)),""))</f>
        <v/>
      </c>
      <c r="E197" s="8">
        <f>IF($C197="","",IFERROR(INDEX('Master Inventory'!$C:$C,MATCH($C197,'Master Inventory'!$A:$A,0)),""))</f>
        <v/>
      </c>
      <c r="F197" s="5" t="n"/>
      <c r="G197" s="5" t="n"/>
    </row>
    <row r="198">
      <c r="A198" s="5" t="n"/>
      <c r="B198" s="12" t="n"/>
      <c r="C198" s="5" t="n"/>
      <c r="D198" s="8">
        <f>IF($C198="","",IFERROR(INDEX('Master Inventory'!$B:$B,MATCH($C198,'Master Inventory'!$A:$A,0)),""))</f>
        <v/>
      </c>
      <c r="E198" s="8">
        <f>IF($C198="","",IFERROR(INDEX('Master Inventory'!$C:$C,MATCH($C198,'Master Inventory'!$A:$A,0)),""))</f>
        <v/>
      </c>
      <c r="F198" s="5" t="n"/>
      <c r="G198" s="5" t="n"/>
    </row>
    <row r="199">
      <c r="A199" s="5" t="n"/>
      <c r="B199" s="12" t="n"/>
      <c r="C199" s="5" t="n"/>
      <c r="D199" s="8">
        <f>IF($C199="","",IFERROR(INDEX('Master Inventory'!$B:$B,MATCH($C199,'Master Inventory'!$A:$A,0)),""))</f>
        <v/>
      </c>
      <c r="E199" s="8">
        <f>IF($C199="","",IFERROR(INDEX('Master Inventory'!$C:$C,MATCH($C199,'Master Inventory'!$A:$A,0)),""))</f>
        <v/>
      </c>
      <c r="F199" s="5" t="n"/>
      <c r="G199" s="5" t="n"/>
    </row>
    <row r="200">
      <c r="A200" s="5" t="n"/>
      <c r="B200" s="12" t="n"/>
      <c r="C200" s="5" t="n"/>
      <c r="D200" s="8">
        <f>IF($C200="","",IFERROR(INDEX('Master Inventory'!$B:$B,MATCH($C200,'Master Inventory'!$A:$A,0)),""))</f>
        <v/>
      </c>
      <c r="E200" s="8">
        <f>IF($C200="","",IFERROR(INDEX('Master Inventory'!$C:$C,MATCH($C200,'Master Inventory'!$A:$A,0)),""))</f>
        <v/>
      </c>
      <c r="F200" s="5" t="n"/>
      <c r="G200" s="5" t="n"/>
    </row>
    <row r="201">
      <c r="A201" s="5" t="n"/>
      <c r="B201" s="12" t="n"/>
      <c r="C201" s="5" t="n"/>
      <c r="D201" s="8">
        <f>IF($C201="","",IFERROR(INDEX('Master Inventory'!$B:$B,MATCH($C201,'Master Inventory'!$A:$A,0)),""))</f>
        <v/>
      </c>
      <c r="E201" s="8">
        <f>IF($C201="","",IFERROR(INDEX('Master Inventory'!$C:$C,MATCH($C201,'Master Inventory'!$A:$A,0)),""))</f>
        <v/>
      </c>
      <c r="F201" s="5" t="n"/>
      <c r="G201" s="5" t="n"/>
    </row>
    <row r="202">
      <c r="A202" s="5" t="n"/>
      <c r="B202" s="12" t="n"/>
      <c r="C202" s="5" t="n"/>
      <c r="D202" s="8">
        <f>IF($C202="","",IFERROR(INDEX('Master Inventory'!$B:$B,MATCH($C202,'Master Inventory'!$A:$A,0)),""))</f>
        <v/>
      </c>
      <c r="E202" s="8">
        <f>IF($C202="","",IFERROR(INDEX('Master Inventory'!$C:$C,MATCH($C202,'Master Inventory'!$A:$A,0)),""))</f>
        <v/>
      </c>
      <c r="F202" s="5" t="n"/>
      <c r="G202" s="5" t="n"/>
    </row>
    <row r="203">
      <c r="A203" s="5" t="n"/>
      <c r="B203" s="12" t="n"/>
      <c r="C203" s="5" t="n"/>
      <c r="D203" s="8">
        <f>IF($C203="","",IFERROR(INDEX('Master Inventory'!$B:$B,MATCH($C203,'Master Inventory'!$A:$A,0)),""))</f>
        <v/>
      </c>
      <c r="E203" s="8">
        <f>IF($C203="","",IFERROR(INDEX('Master Inventory'!$C:$C,MATCH($C203,'Master Inventory'!$A:$A,0)),""))</f>
        <v/>
      </c>
      <c r="F203" s="5" t="n"/>
      <c r="G203" s="5" t="n"/>
    </row>
    <row r="204">
      <c r="A204" s="5" t="n"/>
      <c r="B204" s="12" t="n"/>
      <c r="C204" s="5" t="n"/>
      <c r="D204" s="8">
        <f>IF($C204="","",IFERROR(INDEX('Master Inventory'!$B:$B,MATCH($C204,'Master Inventory'!$A:$A,0)),""))</f>
        <v/>
      </c>
      <c r="E204" s="8">
        <f>IF($C204="","",IFERROR(INDEX('Master Inventory'!$C:$C,MATCH($C204,'Master Inventory'!$A:$A,0)),""))</f>
        <v/>
      </c>
      <c r="F204" s="5" t="n"/>
      <c r="G204" s="5" t="n"/>
    </row>
    <row r="205">
      <c r="A205" s="5" t="n"/>
      <c r="B205" s="12" t="n"/>
      <c r="C205" s="5" t="n"/>
      <c r="D205" s="8">
        <f>IF($C205="","",IFERROR(INDEX('Master Inventory'!$B:$B,MATCH($C205,'Master Inventory'!$A:$A,0)),""))</f>
        <v/>
      </c>
      <c r="E205" s="8">
        <f>IF($C205="","",IFERROR(INDEX('Master Inventory'!$C:$C,MATCH($C205,'Master Inventory'!$A:$A,0)),""))</f>
        <v/>
      </c>
      <c r="F205" s="5" t="n"/>
      <c r="G205" s="5" t="n"/>
    </row>
    <row r="206">
      <c r="A206" s="5" t="n"/>
      <c r="B206" s="12" t="n"/>
      <c r="C206" s="5" t="n"/>
      <c r="D206" s="8">
        <f>IF($C206="","",IFERROR(INDEX('Master Inventory'!$B:$B,MATCH($C206,'Master Inventory'!$A:$A,0)),""))</f>
        <v/>
      </c>
      <c r="E206" s="8">
        <f>IF($C206="","",IFERROR(INDEX('Master Inventory'!$C:$C,MATCH($C206,'Master Inventory'!$A:$A,0)),""))</f>
        <v/>
      </c>
      <c r="F206" s="5" t="n"/>
      <c r="G206" s="5" t="n"/>
    </row>
    <row r="207">
      <c r="A207" s="5" t="n"/>
      <c r="B207" s="12" t="n"/>
      <c r="C207" s="5" t="n"/>
      <c r="D207" s="8">
        <f>IF($C207="","",IFERROR(INDEX('Master Inventory'!$B:$B,MATCH($C207,'Master Inventory'!$A:$A,0)),""))</f>
        <v/>
      </c>
      <c r="E207" s="8">
        <f>IF($C207="","",IFERROR(INDEX('Master Inventory'!$C:$C,MATCH($C207,'Master Inventory'!$A:$A,0)),""))</f>
        <v/>
      </c>
      <c r="F207" s="5" t="n"/>
      <c r="G207" s="5" t="n"/>
    </row>
    <row r="208">
      <c r="A208" s="5" t="n"/>
      <c r="B208" s="12" t="n"/>
      <c r="C208" s="5" t="n"/>
      <c r="D208" s="8">
        <f>IF($C208="","",IFERROR(INDEX('Master Inventory'!$B:$B,MATCH($C208,'Master Inventory'!$A:$A,0)),""))</f>
        <v/>
      </c>
      <c r="E208" s="8">
        <f>IF($C208="","",IFERROR(INDEX('Master Inventory'!$C:$C,MATCH($C208,'Master Inventory'!$A:$A,0)),""))</f>
        <v/>
      </c>
      <c r="F208" s="5" t="n"/>
      <c r="G208" s="5" t="n"/>
    </row>
    <row r="209">
      <c r="A209" s="5" t="n"/>
      <c r="B209" s="12" t="n"/>
      <c r="C209" s="5" t="n"/>
      <c r="D209" s="8">
        <f>IF($C209="","",IFERROR(INDEX('Master Inventory'!$B:$B,MATCH($C209,'Master Inventory'!$A:$A,0)),""))</f>
        <v/>
      </c>
      <c r="E209" s="8">
        <f>IF($C209="","",IFERROR(INDEX('Master Inventory'!$C:$C,MATCH($C209,'Master Inventory'!$A:$A,0)),""))</f>
        <v/>
      </c>
      <c r="F209" s="5" t="n"/>
      <c r="G209" s="5" t="n"/>
    </row>
    <row r="210">
      <c r="A210" s="5" t="n"/>
      <c r="B210" s="12" t="n"/>
      <c r="C210" s="5" t="n"/>
      <c r="D210" s="8">
        <f>IF($C210="","",IFERROR(INDEX('Master Inventory'!$B:$B,MATCH($C210,'Master Inventory'!$A:$A,0)),""))</f>
        <v/>
      </c>
      <c r="E210" s="8">
        <f>IF($C210="","",IFERROR(INDEX('Master Inventory'!$C:$C,MATCH($C210,'Master Inventory'!$A:$A,0)),""))</f>
        <v/>
      </c>
      <c r="F210" s="5" t="n"/>
      <c r="G210" s="5" t="n"/>
    </row>
    <row r="211">
      <c r="A211" s="5" t="n"/>
      <c r="B211" s="12" t="n"/>
      <c r="C211" s="5" t="n"/>
      <c r="D211" s="8">
        <f>IF($C211="","",IFERROR(INDEX('Master Inventory'!$B:$B,MATCH($C211,'Master Inventory'!$A:$A,0)),""))</f>
        <v/>
      </c>
      <c r="E211" s="8">
        <f>IF($C211="","",IFERROR(INDEX('Master Inventory'!$C:$C,MATCH($C211,'Master Inventory'!$A:$A,0)),""))</f>
        <v/>
      </c>
      <c r="F211" s="5" t="n"/>
      <c r="G211" s="5" t="n"/>
    </row>
    <row r="212">
      <c r="A212" s="5" t="n"/>
      <c r="B212" s="12" t="n"/>
      <c r="C212" s="5" t="n"/>
      <c r="D212" s="8">
        <f>IF($C212="","",IFERROR(INDEX('Master Inventory'!$B:$B,MATCH($C212,'Master Inventory'!$A:$A,0)),""))</f>
        <v/>
      </c>
      <c r="E212" s="8">
        <f>IF($C212="","",IFERROR(INDEX('Master Inventory'!$C:$C,MATCH($C212,'Master Inventory'!$A:$A,0)),""))</f>
        <v/>
      </c>
      <c r="F212" s="5" t="n"/>
      <c r="G212" s="5" t="n"/>
    </row>
    <row r="213">
      <c r="A213" s="5" t="n"/>
      <c r="B213" s="12" t="n"/>
      <c r="C213" s="5" t="n"/>
      <c r="D213" s="8">
        <f>IF($C213="","",IFERROR(INDEX('Master Inventory'!$B:$B,MATCH($C213,'Master Inventory'!$A:$A,0)),""))</f>
        <v/>
      </c>
      <c r="E213" s="8">
        <f>IF($C213="","",IFERROR(INDEX('Master Inventory'!$C:$C,MATCH($C213,'Master Inventory'!$A:$A,0)),""))</f>
        <v/>
      </c>
      <c r="F213" s="5" t="n"/>
      <c r="G213" s="5" t="n"/>
    </row>
    <row r="214">
      <c r="A214" s="5" t="n"/>
      <c r="B214" s="12" t="n"/>
      <c r="C214" s="5" t="n"/>
      <c r="D214" s="8">
        <f>IF($C214="","",IFERROR(INDEX('Master Inventory'!$B:$B,MATCH($C214,'Master Inventory'!$A:$A,0)),""))</f>
        <v/>
      </c>
      <c r="E214" s="8">
        <f>IF($C214="","",IFERROR(INDEX('Master Inventory'!$C:$C,MATCH($C214,'Master Inventory'!$A:$A,0)),""))</f>
        <v/>
      </c>
      <c r="F214" s="5" t="n"/>
      <c r="G214" s="5" t="n"/>
    </row>
    <row r="215">
      <c r="A215" s="5" t="n"/>
      <c r="B215" s="12" t="n"/>
      <c r="C215" s="5" t="n"/>
      <c r="D215" s="8">
        <f>IF($C215="","",IFERROR(INDEX('Master Inventory'!$B:$B,MATCH($C215,'Master Inventory'!$A:$A,0)),""))</f>
        <v/>
      </c>
      <c r="E215" s="8">
        <f>IF($C215="","",IFERROR(INDEX('Master Inventory'!$C:$C,MATCH($C215,'Master Inventory'!$A:$A,0)),""))</f>
        <v/>
      </c>
      <c r="F215" s="5" t="n"/>
      <c r="G215" s="5" t="n"/>
    </row>
    <row r="216">
      <c r="A216" s="5" t="n"/>
      <c r="B216" s="12" t="n"/>
      <c r="C216" s="5" t="n"/>
      <c r="D216" s="8">
        <f>IF($C216="","",IFERROR(INDEX('Master Inventory'!$B:$B,MATCH($C216,'Master Inventory'!$A:$A,0)),""))</f>
        <v/>
      </c>
      <c r="E216" s="8">
        <f>IF($C216="","",IFERROR(INDEX('Master Inventory'!$C:$C,MATCH($C216,'Master Inventory'!$A:$A,0)),""))</f>
        <v/>
      </c>
      <c r="F216" s="5" t="n"/>
      <c r="G216" s="5" t="n"/>
    </row>
    <row r="217">
      <c r="A217" s="5" t="n"/>
      <c r="B217" s="12" t="n"/>
      <c r="C217" s="5" t="n"/>
      <c r="D217" s="8">
        <f>IF($C217="","",IFERROR(INDEX('Master Inventory'!$B:$B,MATCH($C217,'Master Inventory'!$A:$A,0)),""))</f>
        <v/>
      </c>
      <c r="E217" s="8">
        <f>IF($C217="","",IFERROR(INDEX('Master Inventory'!$C:$C,MATCH($C217,'Master Inventory'!$A:$A,0)),""))</f>
        <v/>
      </c>
      <c r="F217" s="5" t="n"/>
      <c r="G217" s="5" t="n"/>
    </row>
    <row r="218">
      <c r="A218" s="5" t="n"/>
      <c r="B218" s="12" t="n"/>
      <c r="C218" s="5" t="n"/>
      <c r="D218" s="8">
        <f>IF($C218="","",IFERROR(INDEX('Master Inventory'!$B:$B,MATCH($C218,'Master Inventory'!$A:$A,0)),""))</f>
        <v/>
      </c>
      <c r="E218" s="8">
        <f>IF($C218="","",IFERROR(INDEX('Master Inventory'!$C:$C,MATCH($C218,'Master Inventory'!$A:$A,0)),""))</f>
        <v/>
      </c>
      <c r="F218" s="5" t="n"/>
      <c r="G218" s="5" t="n"/>
    </row>
    <row r="219">
      <c r="A219" s="5" t="n"/>
      <c r="B219" s="12" t="n"/>
      <c r="C219" s="5" t="n"/>
      <c r="D219" s="8">
        <f>IF($C219="","",IFERROR(INDEX('Master Inventory'!$B:$B,MATCH($C219,'Master Inventory'!$A:$A,0)),""))</f>
        <v/>
      </c>
      <c r="E219" s="8">
        <f>IF($C219="","",IFERROR(INDEX('Master Inventory'!$C:$C,MATCH($C219,'Master Inventory'!$A:$A,0)),""))</f>
        <v/>
      </c>
      <c r="F219" s="5" t="n"/>
      <c r="G219" s="5" t="n"/>
    </row>
    <row r="220">
      <c r="A220" s="5" t="n"/>
      <c r="B220" s="12" t="n"/>
      <c r="C220" s="5" t="n"/>
      <c r="D220" s="8">
        <f>IF($C220="","",IFERROR(INDEX('Master Inventory'!$B:$B,MATCH($C220,'Master Inventory'!$A:$A,0)),""))</f>
        <v/>
      </c>
      <c r="E220" s="8">
        <f>IF($C220="","",IFERROR(INDEX('Master Inventory'!$C:$C,MATCH($C220,'Master Inventory'!$A:$A,0)),""))</f>
        <v/>
      </c>
      <c r="F220" s="5" t="n"/>
      <c r="G220" s="5" t="n"/>
    </row>
    <row r="221">
      <c r="A221" s="5" t="n"/>
      <c r="B221" s="12" t="n"/>
      <c r="C221" s="5" t="n"/>
      <c r="D221" s="8">
        <f>IF($C221="","",IFERROR(INDEX('Master Inventory'!$B:$B,MATCH($C221,'Master Inventory'!$A:$A,0)),""))</f>
        <v/>
      </c>
      <c r="E221" s="8">
        <f>IF($C221="","",IFERROR(INDEX('Master Inventory'!$C:$C,MATCH($C221,'Master Inventory'!$A:$A,0)),""))</f>
        <v/>
      </c>
      <c r="F221" s="5" t="n"/>
      <c r="G221" s="5" t="n"/>
    </row>
    <row r="222">
      <c r="A222" s="5" t="n"/>
      <c r="B222" s="12" t="n"/>
      <c r="C222" s="5" t="n"/>
      <c r="D222" s="8">
        <f>IF($C222="","",IFERROR(INDEX('Master Inventory'!$B:$B,MATCH($C222,'Master Inventory'!$A:$A,0)),""))</f>
        <v/>
      </c>
      <c r="E222" s="8">
        <f>IF($C222="","",IFERROR(INDEX('Master Inventory'!$C:$C,MATCH($C222,'Master Inventory'!$A:$A,0)),""))</f>
        <v/>
      </c>
      <c r="F222" s="5" t="n"/>
      <c r="G222" s="5" t="n"/>
    </row>
    <row r="223">
      <c r="A223" s="5" t="n"/>
      <c r="B223" s="12" t="n"/>
      <c r="C223" s="5" t="n"/>
      <c r="D223" s="8">
        <f>IF($C223="","",IFERROR(INDEX('Master Inventory'!$B:$B,MATCH($C223,'Master Inventory'!$A:$A,0)),""))</f>
        <v/>
      </c>
      <c r="E223" s="8">
        <f>IF($C223="","",IFERROR(INDEX('Master Inventory'!$C:$C,MATCH($C223,'Master Inventory'!$A:$A,0)),""))</f>
        <v/>
      </c>
      <c r="F223" s="5" t="n"/>
      <c r="G223" s="5" t="n"/>
    </row>
    <row r="224">
      <c r="A224" s="5" t="n"/>
      <c r="B224" s="12" t="n"/>
      <c r="C224" s="5" t="n"/>
      <c r="D224" s="8">
        <f>IF($C224="","",IFERROR(INDEX('Master Inventory'!$B:$B,MATCH($C224,'Master Inventory'!$A:$A,0)),""))</f>
        <v/>
      </c>
      <c r="E224" s="8">
        <f>IF($C224="","",IFERROR(INDEX('Master Inventory'!$C:$C,MATCH($C224,'Master Inventory'!$A:$A,0)),""))</f>
        <v/>
      </c>
      <c r="F224" s="5" t="n"/>
      <c r="G224" s="5" t="n"/>
    </row>
    <row r="225">
      <c r="A225" s="5" t="n"/>
      <c r="B225" s="12" t="n"/>
      <c r="C225" s="5" t="n"/>
      <c r="D225" s="8">
        <f>IF($C225="","",IFERROR(INDEX('Master Inventory'!$B:$B,MATCH($C225,'Master Inventory'!$A:$A,0)),""))</f>
        <v/>
      </c>
      <c r="E225" s="8">
        <f>IF($C225="","",IFERROR(INDEX('Master Inventory'!$C:$C,MATCH($C225,'Master Inventory'!$A:$A,0)),""))</f>
        <v/>
      </c>
      <c r="F225" s="5" t="n"/>
      <c r="G225" s="5" t="n"/>
    </row>
    <row r="226">
      <c r="A226" s="5" t="n"/>
      <c r="B226" s="12" t="n"/>
      <c r="C226" s="5" t="n"/>
      <c r="D226" s="8">
        <f>IF($C226="","",IFERROR(INDEX('Master Inventory'!$B:$B,MATCH($C226,'Master Inventory'!$A:$A,0)),""))</f>
        <v/>
      </c>
      <c r="E226" s="8">
        <f>IF($C226="","",IFERROR(INDEX('Master Inventory'!$C:$C,MATCH($C226,'Master Inventory'!$A:$A,0)),""))</f>
        <v/>
      </c>
      <c r="F226" s="5" t="n"/>
      <c r="G226" s="5" t="n"/>
    </row>
    <row r="227">
      <c r="A227" s="5" t="n"/>
      <c r="B227" s="12" t="n"/>
      <c r="C227" s="5" t="n"/>
      <c r="D227" s="8">
        <f>IF($C227="","",IFERROR(INDEX('Master Inventory'!$B:$B,MATCH($C227,'Master Inventory'!$A:$A,0)),""))</f>
        <v/>
      </c>
      <c r="E227" s="8">
        <f>IF($C227="","",IFERROR(INDEX('Master Inventory'!$C:$C,MATCH($C227,'Master Inventory'!$A:$A,0)),""))</f>
        <v/>
      </c>
      <c r="F227" s="5" t="n"/>
      <c r="G227" s="5" t="n"/>
    </row>
    <row r="228">
      <c r="A228" s="5" t="n"/>
      <c r="B228" s="12" t="n"/>
      <c r="C228" s="5" t="n"/>
      <c r="D228" s="8">
        <f>IF($C228="","",IFERROR(INDEX('Master Inventory'!$B:$B,MATCH($C228,'Master Inventory'!$A:$A,0)),""))</f>
        <v/>
      </c>
      <c r="E228" s="8">
        <f>IF($C228="","",IFERROR(INDEX('Master Inventory'!$C:$C,MATCH($C228,'Master Inventory'!$A:$A,0)),""))</f>
        <v/>
      </c>
      <c r="F228" s="5" t="n"/>
      <c r="G228" s="5" t="n"/>
    </row>
    <row r="229">
      <c r="A229" s="5" t="n"/>
      <c r="B229" s="12" t="n"/>
      <c r="C229" s="5" t="n"/>
      <c r="D229" s="8">
        <f>IF($C229="","",IFERROR(INDEX('Master Inventory'!$B:$B,MATCH($C229,'Master Inventory'!$A:$A,0)),""))</f>
        <v/>
      </c>
      <c r="E229" s="8">
        <f>IF($C229="","",IFERROR(INDEX('Master Inventory'!$C:$C,MATCH($C229,'Master Inventory'!$A:$A,0)),""))</f>
        <v/>
      </c>
      <c r="F229" s="5" t="n"/>
      <c r="G229" s="5" t="n"/>
    </row>
    <row r="230">
      <c r="A230" s="5" t="n"/>
      <c r="B230" s="12" t="n"/>
      <c r="C230" s="5" t="n"/>
      <c r="D230" s="8">
        <f>IF($C230="","",IFERROR(INDEX('Master Inventory'!$B:$B,MATCH($C230,'Master Inventory'!$A:$A,0)),""))</f>
        <v/>
      </c>
      <c r="E230" s="8">
        <f>IF($C230="","",IFERROR(INDEX('Master Inventory'!$C:$C,MATCH($C230,'Master Inventory'!$A:$A,0)),""))</f>
        <v/>
      </c>
      <c r="F230" s="5" t="n"/>
      <c r="G230" s="5" t="n"/>
    </row>
    <row r="231">
      <c r="A231" s="5" t="n"/>
      <c r="B231" s="12" t="n"/>
      <c r="C231" s="5" t="n"/>
      <c r="D231" s="8">
        <f>IF($C231="","",IFERROR(INDEX('Master Inventory'!$B:$B,MATCH($C231,'Master Inventory'!$A:$A,0)),""))</f>
        <v/>
      </c>
      <c r="E231" s="8">
        <f>IF($C231="","",IFERROR(INDEX('Master Inventory'!$C:$C,MATCH($C231,'Master Inventory'!$A:$A,0)),""))</f>
        <v/>
      </c>
      <c r="F231" s="5" t="n"/>
      <c r="G231" s="5" t="n"/>
    </row>
    <row r="232">
      <c r="A232" s="5" t="n"/>
      <c r="B232" s="12" t="n"/>
      <c r="C232" s="5" t="n"/>
      <c r="D232" s="8">
        <f>IF($C232="","",IFERROR(INDEX('Master Inventory'!$B:$B,MATCH($C232,'Master Inventory'!$A:$A,0)),""))</f>
        <v/>
      </c>
      <c r="E232" s="8">
        <f>IF($C232="","",IFERROR(INDEX('Master Inventory'!$C:$C,MATCH($C232,'Master Inventory'!$A:$A,0)),""))</f>
        <v/>
      </c>
      <c r="F232" s="5" t="n"/>
      <c r="G232" s="5" t="n"/>
    </row>
    <row r="233">
      <c r="A233" s="5" t="n"/>
      <c r="B233" s="12" t="n"/>
      <c r="C233" s="5" t="n"/>
      <c r="D233" s="8">
        <f>IF($C233="","",IFERROR(INDEX('Master Inventory'!$B:$B,MATCH($C233,'Master Inventory'!$A:$A,0)),""))</f>
        <v/>
      </c>
      <c r="E233" s="8">
        <f>IF($C233="","",IFERROR(INDEX('Master Inventory'!$C:$C,MATCH($C233,'Master Inventory'!$A:$A,0)),""))</f>
        <v/>
      </c>
      <c r="F233" s="5" t="n"/>
      <c r="G233" s="5" t="n"/>
    </row>
    <row r="234">
      <c r="A234" s="5" t="n"/>
      <c r="B234" s="12" t="n"/>
      <c r="C234" s="5" t="n"/>
      <c r="D234" s="8">
        <f>IF($C234="","",IFERROR(INDEX('Master Inventory'!$B:$B,MATCH($C234,'Master Inventory'!$A:$A,0)),""))</f>
        <v/>
      </c>
      <c r="E234" s="8">
        <f>IF($C234="","",IFERROR(INDEX('Master Inventory'!$C:$C,MATCH($C234,'Master Inventory'!$A:$A,0)),""))</f>
        <v/>
      </c>
      <c r="F234" s="5" t="n"/>
      <c r="G234" s="5" t="n"/>
    </row>
    <row r="235">
      <c r="A235" s="5" t="n"/>
      <c r="B235" s="12" t="n"/>
      <c r="C235" s="5" t="n"/>
      <c r="D235" s="8">
        <f>IF($C235="","",IFERROR(INDEX('Master Inventory'!$B:$B,MATCH($C235,'Master Inventory'!$A:$A,0)),""))</f>
        <v/>
      </c>
      <c r="E235" s="8">
        <f>IF($C235="","",IFERROR(INDEX('Master Inventory'!$C:$C,MATCH($C235,'Master Inventory'!$A:$A,0)),""))</f>
        <v/>
      </c>
      <c r="F235" s="5" t="n"/>
      <c r="G235" s="5" t="n"/>
    </row>
    <row r="236">
      <c r="A236" s="5" t="n"/>
      <c r="B236" s="12" t="n"/>
      <c r="C236" s="5" t="n"/>
      <c r="D236" s="8">
        <f>IF($C236="","",IFERROR(INDEX('Master Inventory'!$B:$B,MATCH($C236,'Master Inventory'!$A:$A,0)),""))</f>
        <v/>
      </c>
      <c r="E236" s="8">
        <f>IF($C236="","",IFERROR(INDEX('Master Inventory'!$C:$C,MATCH($C236,'Master Inventory'!$A:$A,0)),""))</f>
        <v/>
      </c>
      <c r="F236" s="5" t="n"/>
      <c r="G236" s="5" t="n"/>
    </row>
    <row r="237">
      <c r="A237" s="5" t="n"/>
      <c r="B237" s="12" t="n"/>
      <c r="C237" s="5" t="n"/>
      <c r="D237" s="8">
        <f>IF($C237="","",IFERROR(INDEX('Master Inventory'!$B:$B,MATCH($C237,'Master Inventory'!$A:$A,0)),""))</f>
        <v/>
      </c>
      <c r="E237" s="8">
        <f>IF($C237="","",IFERROR(INDEX('Master Inventory'!$C:$C,MATCH($C237,'Master Inventory'!$A:$A,0)),""))</f>
        <v/>
      </c>
      <c r="F237" s="5" t="n"/>
      <c r="G237" s="5" t="n"/>
    </row>
    <row r="238">
      <c r="A238" s="5" t="n"/>
      <c r="B238" s="12" t="n"/>
      <c r="C238" s="5" t="n"/>
      <c r="D238" s="8">
        <f>IF($C238="","",IFERROR(INDEX('Master Inventory'!$B:$B,MATCH($C238,'Master Inventory'!$A:$A,0)),""))</f>
        <v/>
      </c>
      <c r="E238" s="8">
        <f>IF($C238="","",IFERROR(INDEX('Master Inventory'!$C:$C,MATCH($C238,'Master Inventory'!$A:$A,0)),""))</f>
        <v/>
      </c>
      <c r="F238" s="5" t="n"/>
      <c r="G238" s="5" t="n"/>
    </row>
    <row r="239">
      <c r="A239" s="5" t="n"/>
      <c r="B239" s="12" t="n"/>
      <c r="C239" s="5" t="n"/>
      <c r="D239" s="8">
        <f>IF($C239="","",IFERROR(INDEX('Master Inventory'!$B:$B,MATCH($C239,'Master Inventory'!$A:$A,0)),""))</f>
        <v/>
      </c>
      <c r="E239" s="8">
        <f>IF($C239="","",IFERROR(INDEX('Master Inventory'!$C:$C,MATCH($C239,'Master Inventory'!$A:$A,0)),""))</f>
        <v/>
      </c>
      <c r="F239" s="5" t="n"/>
      <c r="G239" s="5" t="n"/>
    </row>
    <row r="240">
      <c r="A240" s="5" t="n"/>
      <c r="B240" s="12" t="n"/>
      <c r="C240" s="5" t="n"/>
      <c r="D240" s="8">
        <f>IF($C240="","",IFERROR(INDEX('Master Inventory'!$B:$B,MATCH($C240,'Master Inventory'!$A:$A,0)),""))</f>
        <v/>
      </c>
      <c r="E240" s="8">
        <f>IF($C240="","",IFERROR(INDEX('Master Inventory'!$C:$C,MATCH($C240,'Master Inventory'!$A:$A,0)),""))</f>
        <v/>
      </c>
      <c r="F240" s="5" t="n"/>
      <c r="G240" s="5" t="n"/>
    </row>
    <row r="241">
      <c r="A241" s="5" t="n"/>
      <c r="B241" s="12" t="n"/>
      <c r="C241" s="5" t="n"/>
      <c r="D241" s="8">
        <f>IF($C241="","",IFERROR(INDEX('Master Inventory'!$B:$B,MATCH($C241,'Master Inventory'!$A:$A,0)),""))</f>
        <v/>
      </c>
      <c r="E241" s="8">
        <f>IF($C241="","",IFERROR(INDEX('Master Inventory'!$C:$C,MATCH($C241,'Master Inventory'!$A:$A,0)),""))</f>
        <v/>
      </c>
      <c r="F241" s="5" t="n"/>
      <c r="G241" s="5" t="n"/>
    </row>
    <row r="242">
      <c r="A242" s="5" t="n"/>
      <c r="B242" s="12" t="n"/>
      <c r="C242" s="5" t="n"/>
      <c r="D242" s="8">
        <f>IF($C242="","",IFERROR(INDEX('Master Inventory'!$B:$B,MATCH($C242,'Master Inventory'!$A:$A,0)),""))</f>
        <v/>
      </c>
      <c r="E242" s="8">
        <f>IF($C242="","",IFERROR(INDEX('Master Inventory'!$C:$C,MATCH($C242,'Master Inventory'!$A:$A,0)),""))</f>
        <v/>
      </c>
      <c r="F242" s="5" t="n"/>
      <c r="G242" s="5" t="n"/>
    </row>
    <row r="243">
      <c r="A243" s="5" t="n"/>
      <c r="B243" s="12" t="n"/>
      <c r="C243" s="5" t="n"/>
      <c r="D243" s="8">
        <f>IF($C243="","",IFERROR(INDEX('Master Inventory'!$B:$B,MATCH($C243,'Master Inventory'!$A:$A,0)),""))</f>
        <v/>
      </c>
      <c r="E243" s="8">
        <f>IF($C243="","",IFERROR(INDEX('Master Inventory'!$C:$C,MATCH($C243,'Master Inventory'!$A:$A,0)),""))</f>
        <v/>
      </c>
      <c r="F243" s="5" t="n"/>
      <c r="G243" s="5" t="n"/>
    </row>
    <row r="244">
      <c r="A244" s="5" t="n"/>
      <c r="B244" s="12" t="n"/>
      <c r="C244" s="5" t="n"/>
      <c r="D244" s="8">
        <f>IF($C244="","",IFERROR(INDEX('Master Inventory'!$B:$B,MATCH($C244,'Master Inventory'!$A:$A,0)),""))</f>
        <v/>
      </c>
      <c r="E244" s="8">
        <f>IF($C244="","",IFERROR(INDEX('Master Inventory'!$C:$C,MATCH($C244,'Master Inventory'!$A:$A,0)),""))</f>
        <v/>
      </c>
      <c r="F244" s="5" t="n"/>
      <c r="G244" s="5" t="n"/>
    </row>
    <row r="245">
      <c r="A245" s="5" t="n"/>
      <c r="B245" s="12" t="n"/>
      <c r="C245" s="5" t="n"/>
      <c r="D245" s="8">
        <f>IF($C245="","",IFERROR(INDEX('Master Inventory'!$B:$B,MATCH($C245,'Master Inventory'!$A:$A,0)),""))</f>
        <v/>
      </c>
      <c r="E245" s="8">
        <f>IF($C245="","",IFERROR(INDEX('Master Inventory'!$C:$C,MATCH($C245,'Master Inventory'!$A:$A,0)),""))</f>
        <v/>
      </c>
      <c r="F245" s="5" t="n"/>
      <c r="G245" s="5" t="n"/>
    </row>
    <row r="246">
      <c r="A246" s="5" t="n"/>
      <c r="B246" s="12" t="n"/>
      <c r="C246" s="5" t="n"/>
      <c r="D246" s="8">
        <f>IF($C246="","",IFERROR(INDEX('Master Inventory'!$B:$B,MATCH($C246,'Master Inventory'!$A:$A,0)),""))</f>
        <v/>
      </c>
      <c r="E246" s="8">
        <f>IF($C246="","",IFERROR(INDEX('Master Inventory'!$C:$C,MATCH($C246,'Master Inventory'!$A:$A,0)),""))</f>
        <v/>
      </c>
      <c r="F246" s="5" t="n"/>
      <c r="G246" s="5" t="n"/>
    </row>
    <row r="247">
      <c r="A247" s="5" t="n"/>
      <c r="B247" s="12" t="n"/>
      <c r="C247" s="5" t="n"/>
      <c r="D247" s="8">
        <f>IF($C247="","",IFERROR(INDEX('Master Inventory'!$B:$B,MATCH($C247,'Master Inventory'!$A:$A,0)),""))</f>
        <v/>
      </c>
      <c r="E247" s="8">
        <f>IF($C247="","",IFERROR(INDEX('Master Inventory'!$C:$C,MATCH($C247,'Master Inventory'!$A:$A,0)),""))</f>
        <v/>
      </c>
      <c r="F247" s="5" t="n"/>
      <c r="G247" s="5" t="n"/>
    </row>
    <row r="248">
      <c r="A248" s="5" t="n"/>
      <c r="B248" s="12" t="n"/>
      <c r="C248" s="5" t="n"/>
      <c r="D248" s="8">
        <f>IF($C248="","",IFERROR(INDEX('Master Inventory'!$B:$B,MATCH($C248,'Master Inventory'!$A:$A,0)),""))</f>
        <v/>
      </c>
      <c r="E248" s="8">
        <f>IF($C248="","",IFERROR(INDEX('Master Inventory'!$C:$C,MATCH($C248,'Master Inventory'!$A:$A,0)),""))</f>
        <v/>
      </c>
      <c r="F248" s="5" t="n"/>
      <c r="G248" s="5" t="n"/>
    </row>
    <row r="249">
      <c r="A249" s="5" t="n"/>
      <c r="B249" s="12" t="n"/>
      <c r="C249" s="5" t="n"/>
      <c r="D249" s="8">
        <f>IF($C249="","",IFERROR(INDEX('Master Inventory'!$B:$B,MATCH($C249,'Master Inventory'!$A:$A,0)),""))</f>
        <v/>
      </c>
      <c r="E249" s="8">
        <f>IF($C249="","",IFERROR(INDEX('Master Inventory'!$C:$C,MATCH($C249,'Master Inventory'!$A:$A,0)),""))</f>
        <v/>
      </c>
      <c r="F249" s="5" t="n"/>
      <c r="G249" s="5" t="n"/>
    </row>
    <row r="250">
      <c r="A250" s="5" t="n"/>
      <c r="B250" s="12" t="n"/>
      <c r="C250" s="5" t="n"/>
      <c r="D250" s="8">
        <f>IF($C250="","",IFERROR(INDEX('Master Inventory'!$B:$B,MATCH($C250,'Master Inventory'!$A:$A,0)),""))</f>
        <v/>
      </c>
      <c r="E250" s="8">
        <f>IF($C250="","",IFERROR(INDEX('Master Inventory'!$C:$C,MATCH($C250,'Master Inventory'!$A:$A,0)),""))</f>
        <v/>
      </c>
      <c r="F250" s="5" t="n"/>
      <c r="G250" s="5" t="n"/>
    </row>
    <row r="251">
      <c r="A251" s="5" t="n"/>
      <c r="B251" s="12" t="n"/>
      <c r="C251" s="5" t="n"/>
      <c r="D251" s="8">
        <f>IF($C251="","",IFERROR(INDEX('Master Inventory'!$B:$B,MATCH($C251,'Master Inventory'!$A:$A,0)),""))</f>
        <v/>
      </c>
      <c r="E251" s="8">
        <f>IF($C251="","",IFERROR(INDEX('Master Inventory'!$C:$C,MATCH($C251,'Master Inventory'!$A:$A,0)),""))</f>
        <v/>
      </c>
      <c r="F251" s="5" t="n"/>
      <c r="G251" s="5" t="n"/>
    </row>
    <row r="252">
      <c r="A252" s="5" t="n"/>
      <c r="B252" s="12" t="n"/>
      <c r="C252" s="5" t="n"/>
      <c r="D252" s="8">
        <f>IF($C252="","",IFERROR(INDEX('Master Inventory'!$B:$B,MATCH($C252,'Master Inventory'!$A:$A,0)),""))</f>
        <v/>
      </c>
      <c r="E252" s="8">
        <f>IF($C252="","",IFERROR(INDEX('Master Inventory'!$C:$C,MATCH($C252,'Master Inventory'!$A:$A,0)),""))</f>
        <v/>
      </c>
      <c r="F252" s="5" t="n"/>
      <c r="G252" s="5" t="n"/>
    </row>
    <row r="253">
      <c r="A253" s="5" t="n"/>
      <c r="B253" s="12" t="n"/>
      <c r="C253" s="5" t="n"/>
      <c r="D253" s="8">
        <f>IF($C253="","",IFERROR(INDEX('Master Inventory'!$B:$B,MATCH($C253,'Master Inventory'!$A:$A,0)),""))</f>
        <v/>
      </c>
      <c r="E253" s="8">
        <f>IF($C253="","",IFERROR(INDEX('Master Inventory'!$C:$C,MATCH($C253,'Master Inventory'!$A:$A,0)),""))</f>
        <v/>
      </c>
      <c r="F253" s="5" t="n"/>
      <c r="G253" s="5" t="n"/>
    </row>
    <row r="254">
      <c r="A254" s="5" t="n"/>
      <c r="B254" s="12" t="n"/>
      <c r="C254" s="5" t="n"/>
      <c r="D254" s="8">
        <f>IF($C254="","",IFERROR(INDEX('Master Inventory'!$B:$B,MATCH($C254,'Master Inventory'!$A:$A,0)),""))</f>
        <v/>
      </c>
      <c r="E254" s="8">
        <f>IF($C254="","",IFERROR(INDEX('Master Inventory'!$C:$C,MATCH($C254,'Master Inventory'!$A:$A,0)),""))</f>
        <v/>
      </c>
      <c r="F254" s="5" t="n"/>
      <c r="G254" s="5" t="n"/>
    </row>
    <row r="255">
      <c r="A255" s="5" t="n"/>
      <c r="B255" s="12" t="n"/>
      <c r="C255" s="5" t="n"/>
      <c r="D255" s="8">
        <f>IF($C255="","",IFERROR(INDEX('Master Inventory'!$B:$B,MATCH($C255,'Master Inventory'!$A:$A,0)),""))</f>
        <v/>
      </c>
      <c r="E255" s="8">
        <f>IF($C255="","",IFERROR(INDEX('Master Inventory'!$C:$C,MATCH($C255,'Master Inventory'!$A:$A,0)),""))</f>
        <v/>
      </c>
      <c r="F255" s="5" t="n"/>
      <c r="G255" s="5" t="n"/>
    </row>
    <row r="256">
      <c r="A256" s="5" t="n"/>
      <c r="B256" s="12" t="n"/>
      <c r="C256" s="5" t="n"/>
      <c r="D256" s="8">
        <f>IF($C256="","",IFERROR(INDEX('Master Inventory'!$B:$B,MATCH($C256,'Master Inventory'!$A:$A,0)),""))</f>
        <v/>
      </c>
      <c r="E256" s="8">
        <f>IF($C256="","",IFERROR(INDEX('Master Inventory'!$C:$C,MATCH($C256,'Master Inventory'!$A:$A,0)),""))</f>
        <v/>
      </c>
      <c r="F256" s="5" t="n"/>
      <c r="G256" s="5" t="n"/>
    </row>
    <row r="257">
      <c r="A257" s="5" t="n"/>
      <c r="B257" s="12" t="n"/>
      <c r="C257" s="5" t="n"/>
      <c r="D257" s="8">
        <f>IF($C257="","",IFERROR(INDEX('Master Inventory'!$B:$B,MATCH($C257,'Master Inventory'!$A:$A,0)),""))</f>
        <v/>
      </c>
      <c r="E257" s="8">
        <f>IF($C257="","",IFERROR(INDEX('Master Inventory'!$C:$C,MATCH($C257,'Master Inventory'!$A:$A,0)),""))</f>
        <v/>
      </c>
      <c r="F257" s="5" t="n"/>
      <c r="G257" s="5" t="n"/>
    </row>
    <row r="258">
      <c r="A258" s="5" t="n"/>
      <c r="B258" s="12" t="n"/>
      <c r="C258" s="5" t="n"/>
      <c r="D258" s="8">
        <f>IF($C258="","",IFERROR(INDEX('Master Inventory'!$B:$B,MATCH($C258,'Master Inventory'!$A:$A,0)),""))</f>
        <v/>
      </c>
      <c r="E258" s="8">
        <f>IF($C258="","",IFERROR(INDEX('Master Inventory'!$C:$C,MATCH($C258,'Master Inventory'!$A:$A,0)),""))</f>
        <v/>
      </c>
      <c r="F258" s="5" t="n"/>
      <c r="G258" s="5" t="n"/>
    </row>
    <row r="259">
      <c r="A259" s="5" t="n"/>
      <c r="B259" s="12" t="n"/>
      <c r="C259" s="5" t="n"/>
      <c r="D259" s="8">
        <f>IF($C259="","",IFERROR(INDEX('Master Inventory'!$B:$B,MATCH($C259,'Master Inventory'!$A:$A,0)),""))</f>
        <v/>
      </c>
      <c r="E259" s="8">
        <f>IF($C259="","",IFERROR(INDEX('Master Inventory'!$C:$C,MATCH($C259,'Master Inventory'!$A:$A,0)),""))</f>
        <v/>
      </c>
      <c r="F259" s="5" t="n"/>
      <c r="G259" s="5" t="n"/>
    </row>
    <row r="260">
      <c r="A260" s="5" t="n"/>
      <c r="B260" s="12" t="n"/>
      <c r="C260" s="5" t="n"/>
      <c r="D260" s="8">
        <f>IF($C260="","",IFERROR(INDEX('Master Inventory'!$B:$B,MATCH($C260,'Master Inventory'!$A:$A,0)),""))</f>
        <v/>
      </c>
      <c r="E260" s="8">
        <f>IF($C260="","",IFERROR(INDEX('Master Inventory'!$C:$C,MATCH($C260,'Master Inventory'!$A:$A,0)),""))</f>
        <v/>
      </c>
      <c r="F260" s="5" t="n"/>
      <c r="G260" s="5" t="n"/>
    </row>
    <row r="261">
      <c r="A261" s="5" t="n"/>
      <c r="B261" s="12" t="n"/>
      <c r="C261" s="5" t="n"/>
      <c r="D261" s="8">
        <f>IF($C261="","",IFERROR(INDEX('Master Inventory'!$B:$B,MATCH($C261,'Master Inventory'!$A:$A,0)),""))</f>
        <v/>
      </c>
      <c r="E261" s="8">
        <f>IF($C261="","",IFERROR(INDEX('Master Inventory'!$C:$C,MATCH($C261,'Master Inventory'!$A:$A,0)),""))</f>
        <v/>
      </c>
      <c r="F261" s="5" t="n"/>
      <c r="G261" s="5" t="n"/>
    </row>
    <row r="262">
      <c r="A262" s="5" t="n"/>
      <c r="B262" s="12" t="n"/>
      <c r="C262" s="5" t="n"/>
      <c r="D262" s="8">
        <f>IF($C262="","",IFERROR(INDEX('Master Inventory'!$B:$B,MATCH($C262,'Master Inventory'!$A:$A,0)),""))</f>
        <v/>
      </c>
      <c r="E262" s="8">
        <f>IF($C262="","",IFERROR(INDEX('Master Inventory'!$C:$C,MATCH($C262,'Master Inventory'!$A:$A,0)),""))</f>
        <v/>
      </c>
      <c r="F262" s="5" t="n"/>
      <c r="G262" s="5" t="n"/>
    </row>
    <row r="263">
      <c r="A263" s="5" t="n"/>
      <c r="B263" s="12" t="n"/>
      <c r="C263" s="5" t="n"/>
      <c r="D263" s="8">
        <f>IF($C263="","",IFERROR(INDEX('Master Inventory'!$B:$B,MATCH($C263,'Master Inventory'!$A:$A,0)),""))</f>
        <v/>
      </c>
      <c r="E263" s="8">
        <f>IF($C263="","",IFERROR(INDEX('Master Inventory'!$C:$C,MATCH($C263,'Master Inventory'!$A:$A,0)),""))</f>
        <v/>
      </c>
      <c r="F263" s="5" t="n"/>
      <c r="G263" s="5" t="n"/>
    </row>
    <row r="264">
      <c r="A264" s="5" t="n"/>
      <c r="B264" s="12" t="n"/>
      <c r="C264" s="5" t="n"/>
      <c r="D264" s="8">
        <f>IF($C264="","",IFERROR(INDEX('Master Inventory'!$B:$B,MATCH($C264,'Master Inventory'!$A:$A,0)),""))</f>
        <v/>
      </c>
      <c r="E264" s="8">
        <f>IF($C264="","",IFERROR(INDEX('Master Inventory'!$C:$C,MATCH($C264,'Master Inventory'!$A:$A,0)),""))</f>
        <v/>
      </c>
      <c r="F264" s="5" t="n"/>
      <c r="G264" s="5" t="n"/>
    </row>
    <row r="265">
      <c r="A265" s="5" t="n"/>
      <c r="B265" s="12" t="n"/>
      <c r="C265" s="5" t="n"/>
      <c r="D265" s="8">
        <f>IF($C265="","",IFERROR(INDEX('Master Inventory'!$B:$B,MATCH($C265,'Master Inventory'!$A:$A,0)),""))</f>
        <v/>
      </c>
      <c r="E265" s="8">
        <f>IF($C265="","",IFERROR(INDEX('Master Inventory'!$C:$C,MATCH($C265,'Master Inventory'!$A:$A,0)),""))</f>
        <v/>
      </c>
      <c r="F265" s="5" t="n"/>
      <c r="G265" s="5" t="n"/>
    </row>
    <row r="266">
      <c r="A266" s="5" t="n"/>
      <c r="B266" s="12" t="n"/>
      <c r="C266" s="5" t="n"/>
      <c r="D266" s="8">
        <f>IF($C266="","",IFERROR(INDEX('Master Inventory'!$B:$B,MATCH($C266,'Master Inventory'!$A:$A,0)),""))</f>
        <v/>
      </c>
      <c r="E266" s="8">
        <f>IF($C266="","",IFERROR(INDEX('Master Inventory'!$C:$C,MATCH($C266,'Master Inventory'!$A:$A,0)),""))</f>
        <v/>
      </c>
      <c r="F266" s="5" t="n"/>
      <c r="G266" s="5" t="n"/>
    </row>
    <row r="267">
      <c r="A267" s="5" t="n"/>
      <c r="B267" s="12" t="n"/>
      <c r="C267" s="5" t="n"/>
      <c r="D267" s="8">
        <f>IF($C267="","",IFERROR(INDEX('Master Inventory'!$B:$B,MATCH($C267,'Master Inventory'!$A:$A,0)),""))</f>
        <v/>
      </c>
      <c r="E267" s="8">
        <f>IF($C267="","",IFERROR(INDEX('Master Inventory'!$C:$C,MATCH($C267,'Master Inventory'!$A:$A,0)),""))</f>
        <v/>
      </c>
      <c r="F267" s="5" t="n"/>
      <c r="G267" s="5" t="n"/>
    </row>
    <row r="268">
      <c r="A268" s="5" t="n"/>
      <c r="B268" s="12" t="n"/>
      <c r="C268" s="5" t="n"/>
      <c r="D268" s="8">
        <f>IF($C268="","",IFERROR(INDEX('Master Inventory'!$B:$B,MATCH($C268,'Master Inventory'!$A:$A,0)),""))</f>
        <v/>
      </c>
      <c r="E268" s="8">
        <f>IF($C268="","",IFERROR(INDEX('Master Inventory'!$C:$C,MATCH($C268,'Master Inventory'!$A:$A,0)),""))</f>
        <v/>
      </c>
      <c r="F268" s="5" t="n"/>
      <c r="G268" s="5" t="n"/>
    </row>
    <row r="269">
      <c r="A269" s="5" t="n"/>
      <c r="B269" s="12" t="n"/>
      <c r="C269" s="5" t="n"/>
      <c r="D269" s="8">
        <f>IF($C269="","",IFERROR(INDEX('Master Inventory'!$B:$B,MATCH($C269,'Master Inventory'!$A:$A,0)),""))</f>
        <v/>
      </c>
      <c r="E269" s="8">
        <f>IF($C269="","",IFERROR(INDEX('Master Inventory'!$C:$C,MATCH($C269,'Master Inventory'!$A:$A,0)),""))</f>
        <v/>
      </c>
      <c r="F269" s="5" t="n"/>
      <c r="G269" s="5" t="n"/>
    </row>
    <row r="270">
      <c r="A270" s="5" t="n"/>
      <c r="B270" s="12" t="n"/>
      <c r="C270" s="5" t="n"/>
      <c r="D270" s="8">
        <f>IF($C270="","",IFERROR(INDEX('Master Inventory'!$B:$B,MATCH($C270,'Master Inventory'!$A:$A,0)),""))</f>
        <v/>
      </c>
      <c r="E270" s="8">
        <f>IF($C270="","",IFERROR(INDEX('Master Inventory'!$C:$C,MATCH($C270,'Master Inventory'!$A:$A,0)),""))</f>
        <v/>
      </c>
      <c r="F270" s="5" t="n"/>
      <c r="G270" s="5" t="n"/>
    </row>
    <row r="271">
      <c r="A271" s="5" t="n"/>
      <c r="B271" s="12" t="n"/>
      <c r="C271" s="5" t="n"/>
      <c r="D271" s="8">
        <f>IF($C271="","",IFERROR(INDEX('Master Inventory'!$B:$B,MATCH($C271,'Master Inventory'!$A:$A,0)),""))</f>
        <v/>
      </c>
      <c r="E271" s="8">
        <f>IF($C271="","",IFERROR(INDEX('Master Inventory'!$C:$C,MATCH($C271,'Master Inventory'!$A:$A,0)),""))</f>
        <v/>
      </c>
      <c r="F271" s="5" t="n"/>
      <c r="G271" s="5" t="n"/>
    </row>
    <row r="272">
      <c r="A272" s="5" t="n"/>
      <c r="B272" s="12" t="n"/>
      <c r="C272" s="5" t="n"/>
      <c r="D272" s="8">
        <f>IF($C272="","",IFERROR(INDEX('Master Inventory'!$B:$B,MATCH($C272,'Master Inventory'!$A:$A,0)),""))</f>
        <v/>
      </c>
      <c r="E272" s="8">
        <f>IF($C272="","",IFERROR(INDEX('Master Inventory'!$C:$C,MATCH($C272,'Master Inventory'!$A:$A,0)),""))</f>
        <v/>
      </c>
      <c r="F272" s="5" t="n"/>
      <c r="G272" s="5" t="n"/>
    </row>
    <row r="273">
      <c r="A273" s="5" t="n"/>
      <c r="B273" s="12" t="n"/>
      <c r="C273" s="5" t="n"/>
      <c r="D273" s="8">
        <f>IF($C273="","",IFERROR(INDEX('Master Inventory'!$B:$B,MATCH($C273,'Master Inventory'!$A:$A,0)),""))</f>
        <v/>
      </c>
      <c r="E273" s="8">
        <f>IF($C273="","",IFERROR(INDEX('Master Inventory'!$C:$C,MATCH($C273,'Master Inventory'!$A:$A,0)),""))</f>
        <v/>
      </c>
      <c r="F273" s="5" t="n"/>
      <c r="G273" s="5" t="n"/>
    </row>
    <row r="274">
      <c r="A274" s="5" t="n"/>
      <c r="B274" s="12" t="n"/>
      <c r="C274" s="5" t="n"/>
      <c r="D274" s="8">
        <f>IF($C274="","",IFERROR(INDEX('Master Inventory'!$B:$B,MATCH($C274,'Master Inventory'!$A:$A,0)),""))</f>
        <v/>
      </c>
      <c r="E274" s="8">
        <f>IF($C274="","",IFERROR(INDEX('Master Inventory'!$C:$C,MATCH($C274,'Master Inventory'!$A:$A,0)),""))</f>
        <v/>
      </c>
      <c r="F274" s="5" t="n"/>
      <c r="G274" s="5" t="n"/>
    </row>
    <row r="275">
      <c r="A275" s="5" t="n"/>
      <c r="B275" s="12" t="n"/>
      <c r="C275" s="5" t="n"/>
      <c r="D275" s="8">
        <f>IF($C275="","",IFERROR(INDEX('Master Inventory'!$B:$B,MATCH($C275,'Master Inventory'!$A:$A,0)),""))</f>
        <v/>
      </c>
      <c r="E275" s="8">
        <f>IF($C275="","",IFERROR(INDEX('Master Inventory'!$C:$C,MATCH($C275,'Master Inventory'!$A:$A,0)),""))</f>
        <v/>
      </c>
      <c r="F275" s="5" t="n"/>
      <c r="G275" s="5" t="n"/>
    </row>
    <row r="276">
      <c r="A276" s="5" t="n"/>
      <c r="B276" s="12" t="n"/>
      <c r="C276" s="5" t="n"/>
      <c r="D276" s="8">
        <f>IF($C276="","",IFERROR(INDEX('Master Inventory'!$B:$B,MATCH($C276,'Master Inventory'!$A:$A,0)),""))</f>
        <v/>
      </c>
      <c r="E276" s="8">
        <f>IF($C276="","",IFERROR(INDEX('Master Inventory'!$C:$C,MATCH($C276,'Master Inventory'!$A:$A,0)),""))</f>
        <v/>
      </c>
      <c r="F276" s="5" t="n"/>
      <c r="G276" s="5" t="n"/>
    </row>
    <row r="277">
      <c r="A277" s="5" t="n"/>
      <c r="B277" s="12" t="n"/>
      <c r="C277" s="5" t="n"/>
      <c r="D277" s="8">
        <f>IF($C277="","",IFERROR(INDEX('Master Inventory'!$B:$B,MATCH($C277,'Master Inventory'!$A:$A,0)),""))</f>
        <v/>
      </c>
      <c r="E277" s="8">
        <f>IF($C277="","",IFERROR(INDEX('Master Inventory'!$C:$C,MATCH($C277,'Master Inventory'!$A:$A,0)),""))</f>
        <v/>
      </c>
      <c r="F277" s="5" t="n"/>
      <c r="G277" s="5" t="n"/>
    </row>
    <row r="278">
      <c r="A278" s="5" t="n"/>
      <c r="B278" s="12" t="n"/>
      <c r="C278" s="5" t="n"/>
      <c r="D278" s="8">
        <f>IF($C278="","",IFERROR(INDEX('Master Inventory'!$B:$B,MATCH($C278,'Master Inventory'!$A:$A,0)),""))</f>
        <v/>
      </c>
      <c r="E278" s="8">
        <f>IF($C278="","",IFERROR(INDEX('Master Inventory'!$C:$C,MATCH($C278,'Master Inventory'!$A:$A,0)),""))</f>
        <v/>
      </c>
      <c r="F278" s="5" t="n"/>
      <c r="G278" s="5" t="n"/>
    </row>
    <row r="279">
      <c r="A279" s="5" t="n"/>
      <c r="B279" s="12" t="n"/>
      <c r="C279" s="5" t="n"/>
      <c r="D279" s="8">
        <f>IF($C279="","",IFERROR(INDEX('Master Inventory'!$B:$B,MATCH($C279,'Master Inventory'!$A:$A,0)),""))</f>
        <v/>
      </c>
      <c r="E279" s="8">
        <f>IF($C279="","",IFERROR(INDEX('Master Inventory'!$C:$C,MATCH($C279,'Master Inventory'!$A:$A,0)),""))</f>
        <v/>
      </c>
      <c r="F279" s="5" t="n"/>
      <c r="G279" s="5" t="n"/>
    </row>
    <row r="280">
      <c r="A280" s="5" t="n"/>
      <c r="B280" s="12" t="n"/>
      <c r="C280" s="5" t="n"/>
      <c r="D280" s="8">
        <f>IF($C280="","",IFERROR(INDEX('Master Inventory'!$B:$B,MATCH($C280,'Master Inventory'!$A:$A,0)),""))</f>
        <v/>
      </c>
      <c r="E280" s="8">
        <f>IF($C280="","",IFERROR(INDEX('Master Inventory'!$C:$C,MATCH($C280,'Master Inventory'!$A:$A,0)),""))</f>
        <v/>
      </c>
      <c r="F280" s="5" t="n"/>
      <c r="G280" s="5" t="n"/>
    </row>
    <row r="281">
      <c r="A281" s="5" t="n"/>
      <c r="B281" s="12" t="n"/>
      <c r="C281" s="5" t="n"/>
      <c r="D281" s="8">
        <f>IF($C281="","",IFERROR(INDEX('Master Inventory'!$B:$B,MATCH($C281,'Master Inventory'!$A:$A,0)),""))</f>
        <v/>
      </c>
      <c r="E281" s="8">
        <f>IF($C281="","",IFERROR(INDEX('Master Inventory'!$C:$C,MATCH($C281,'Master Inventory'!$A:$A,0)),""))</f>
        <v/>
      </c>
      <c r="F281" s="5" t="n"/>
      <c r="G281" s="5" t="n"/>
    </row>
    <row r="282">
      <c r="A282" s="5" t="n"/>
      <c r="B282" s="12" t="n"/>
      <c r="C282" s="5" t="n"/>
      <c r="D282" s="8">
        <f>IF($C282="","",IFERROR(INDEX('Master Inventory'!$B:$B,MATCH($C282,'Master Inventory'!$A:$A,0)),""))</f>
        <v/>
      </c>
      <c r="E282" s="8">
        <f>IF($C282="","",IFERROR(INDEX('Master Inventory'!$C:$C,MATCH($C282,'Master Inventory'!$A:$A,0)),""))</f>
        <v/>
      </c>
      <c r="F282" s="5" t="n"/>
      <c r="G282" s="5" t="n"/>
    </row>
    <row r="283">
      <c r="A283" s="5" t="n"/>
      <c r="B283" s="12" t="n"/>
      <c r="C283" s="5" t="n"/>
      <c r="D283" s="8">
        <f>IF($C283="","",IFERROR(INDEX('Master Inventory'!$B:$B,MATCH($C283,'Master Inventory'!$A:$A,0)),""))</f>
        <v/>
      </c>
      <c r="E283" s="8">
        <f>IF($C283="","",IFERROR(INDEX('Master Inventory'!$C:$C,MATCH($C283,'Master Inventory'!$A:$A,0)),""))</f>
        <v/>
      </c>
      <c r="F283" s="5" t="n"/>
      <c r="G283" s="5" t="n"/>
    </row>
    <row r="284">
      <c r="A284" s="5" t="n"/>
      <c r="B284" s="12" t="n"/>
      <c r="C284" s="5" t="n"/>
      <c r="D284" s="8">
        <f>IF($C284="","",IFERROR(INDEX('Master Inventory'!$B:$B,MATCH($C284,'Master Inventory'!$A:$A,0)),""))</f>
        <v/>
      </c>
      <c r="E284" s="8">
        <f>IF($C284="","",IFERROR(INDEX('Master Inventory'!$C:$C,MATCH($C284,'Master Inventory'!$A:$A,0)),""))</f>
        <v/>
      </c>
      <c r="F284" s="5" t="n"/>
      <c r="G284" s="5" t="n"/>
    </row>
    <row r="285">
      <c r="A285" s="5" t="n"/>
      <c r="B285" s="12" t="n"/>
      <c r="C285" s="5" t="n"/>
      <c r="D285" s="8">
        <f>IF($C285="","",IFERROR(INDEX('Master Inventory'!$B:$B,MATCH($C285,'Master Inventory'!$A:$A,0)),""))</f>
        <v/>
      </c>
      <c r="E285" s="8">
        <f>IF($C285="","",IFERROR(INDEX('Master Inventory'!$C:$C,MATCH($C285,'Master Inventory'!$A:$A,0)),""))</f>
        <v/>
      </c>
      <c r="F285" s="5" t="n"/>
      <c r="G285" s="5" t="n"/>
    </row>
    <row r="286">
      <c r="A286" s="5" t="n"/>
      <c r="B286" s="12" t="n"/>
      <c r="C286" s="5" t="n"/>
      <c r="D286" s="8">
        <f>IF($C286="","",IFERROR(INDEX('Master Inventory'!$B:$B,MATCH($C286,'Master Inventory'!$A:$A,0)),""))</f>
        <v/>
      </c>
      <c r="E286" s="8">
        <f>IF($C286="","",IFERROR(INDEX('Master Inventory'!$C:$C,MATCH($C286,'Master Inventory'!$A:$A,0)),""))</f>
        <v/>
      </c>
      <c r="F286" s="5" t="n"/>
      <c r="G286" s="5" t="n"/>
    </row>
    <row r="287">
      <c r="A287" s="5" t="n"/>
      <c r="B287" s="12" t="n"/>
      <c r="C287" s="5" t="n"/>
      <c r="D287" s="8">
        <f>IF($C287="","",IFERROR(INDEX('Master Inventory'!$B:$B,MATCH($C287,'Master Inventory'!$A:$A,0)),""))</f>
        <v/>
      </c>
      <c r="E287" s="8">
        <f>IF($C287="","",IFERROR(INDEX('Master Inventory'!$C:$C,MATCH($C287,'Master Inventory'!$A:$A,0)),""))</f>
        <v/>
      </c>
      <c r="F287" s="5" t="n"/>
      <c r="G287" s="5" t="n"/>
    </row>
    <row r="288">
      <c r="A288" s="5" t="n"/>
      <c r="B288" s="12" t="n"/>
      <c r="C288" s="5" t="n"/>
      <c r="D288" s="8">
        <f>IF($C288="","",IFERROR(INDEX('Master Inventory'!$B:$B,MATCH($C288,'Master Inventory'!$A:$A,0)),""))</f>
        <v/>
      </c>
      <c r="E288" s="8">
        <f>IF($C288="","",IFERROR(INDEX('Master Inventory'!$C:$C,MATCH($C288,'Master Inventory'!$A:$A,0)),""))</f>
        <v/>
      </c>
      <c r="F288" s="5" t="n"/>
      <c r="G288" s="5" t="n"/>
    </row>
    <row r="289">
      <c r="A289" s="5" t="n"/>
      <c r="B289" s="12" t="n"/>
      <c r="C289" s="5" t="n"/>
      <c r="D289" s="8">
        <f>IF($C289="","",IFERROR(INDEX('Master Inventory'!$B:$B,MATCH($C289,'Master Inventory'!$A:$A,0)),""))</f>
        <v/>
      </c>
      <c r="E289" s="8">
        <f>IF($C289="","",IFERROR(INDEX('Master Inventory'!$C:$C,MATCH($C289,'Master Inventory'!$A:$A,0)),""))</f>
        <v/>
      </c>
      <c r="F289" s="5" t="n"/>
      <c r="G289" s="5" t="n"/>
    </row>
    <row r="290">
      <c r="A290" s="5" t="n"/>
      <c r="B290" s="12" t="n"/>
      <c r="C290" s="5" t="n"/>
      <c r="D290" s="8">
        <f>IF($C290="","",IFERROR(INDEX('Master Inventory'!$B:$B,MATCH($C290,'Master Inventory'!$A:$A,0)),""))</f>
        <v/>
      </c>
      <c r="E290" s="8">
        <f>IF($C290="","",IFERROR(INDEX('Master Inventory'!$C:$C,MATCH($C290,'Master Inventory'!$A:$A,0)),""))</f>
        <v/>
      </c>
      <c r="F290" s="5" t="n"/>
      <c r="G290" s="5" t="n"/>
    </row>
    <row r="291">
      <c r="A291" s="5" t="n"/>
      <c r="B291" s="12" t="n"/>
      <c r="C291" s="5" t="n"/>
      <c r="D291" s="8">
        <f>IF($C291="","",IFERROR(INDEX('Master Inventory'!$B:$B,MATCH($C291,'Master Inventory'!$A:$A,0)),""))</f>
        <v/>
      </c>
      <c r="E291" s="8">
        <f>IF($C291="","",IFERROR(INDEX('Master Inventory'!$C:$C,MATCH($C291,'Master Inventory'!$A:$A,0)),""))</f>
        <v/>
      </c>
      <c r="F291" s="5" t="n"/>
      <c r="G291" s="5" t="n"/>
    </row>
    <row r="292">
      <c r="A292" s="5" t="n"/>
      <c r="B292" s="12" t="n"/>
      <c r="C292" s="5" t="n"/>
      <c r="D292" s="8">
        <f>IF($C292="","",IFERROR(INDEX('Master Inventory'!$B:$B,MATCH($C292,'Master Inventory'!$A:$A,0)),""))</f>
        <v/>
      </c>
      <c r="E292" s="8">
        <f>IF($C292="","",IFERROR(INDEX('Master Inventory'!$C:$C,MATCH($C292,'Master Inventory'!$A:$A,0)),""))</f>
        <v/>
      </c>
      <c r="F292" s="5" t="n"/>
      <c r="G292" s="5" t="n"/>
    </row>
    <row r="293">
      <c r="A293" s="5" t="n"/>
      <c r="B293" s="12" t="n"/>
      <c r="C293" s="5" t="n"/>
      <c r="D293" s="8">
        <f>IF($C293="","",IFERROR(INDEX('Master Inventory'!$B:$B,MATCH($C293,'Master Inventory'!$A:$A,0)),""))</f>
        <v/>
      </c>
      <c r="E293" s="8">
        <f>IF($C293="","",IFERROR(INDEX('Master Inventory'!$C:$C,MATCH($C293,'Master Inventory'!$A:$A,0)),""))</f>
        <v/>
      </c>
      <c r="F293" s="5" t="n"/>
      <c r="G293" s="5" t="n"/>
    </row>
    <row r="294">
      <c r="A294" s="5" t="n"/>
      <c r="B294" s="12" t="n"/>
      <c r="C294" s="5" t="n"/>
      <c r="D294" s="8">
        <f>IF($C294="","",IFERROR(INDEX('Master Inventory'!$B:$B,MATCH($C294,'Master Inventory'!$A:$A,0)),""))</f>
        <v/>
      </c>
      <c r="E294" s="8">
        <f>IF($C294="","",IFERROR(INDEX('Master Inventory'!$C:$C,MATCH($C294,'Master Inventory'!$A:$A,0)),""))</f>
        <v/>
      </c>
      <c r="F294" s="5" t="n"/>
      <c r="G294" s="5" t="n"/>
    </row>
    <row r="295">
      <c r="A295" s="5" t="n"/>
      <c r="B295" s="12" t="n"/>
      <c r="C295" s="5" t="n"/>
      <c r="D295" s="8">
        <f>IF($C295="","",IFERROR(INDEX('Master Inventory'!$B:$B,MATCH($C295,'Master Inventory'!$A:$A,0)),""))</f>
        <v/>
      </c>
      <c r="E295" s="8">
        <f>IF($C295="","",IFERROR(INDEX('Master Inventory'!$C:$C,MATCH($C295,'Master Inventory'!$A:$A,0)),""))</f>
        <v/>
      </c>
      <c r="F295" s="5" t="n"/>
      <c r="G295" s="5" t="n"/>
    </row>
    <row r="296">
      <c r="A296" s="5" t="n"/>
      <c r="B296" s="12" t="n"/>
      <c r="C296" s="5" t="n"/>
      <c r="D296" s="8">
        <f>IF($C296="","",IFERROR(INDEX('Master Inventory'!$B:$B,MATCH($C296,'Master Inventory'!$A:$A,0)),""))</f>
        <v/>
      </c>
      <c r="E296" s="8">
        <f>IF($C296="","",IFERROR(INDEX('Master Inventory'!$C:$C,MATCH($C296,'Master Inventory'!$A:$A,0)),""))</f>
        <v/>
      </c>
      <c r="F296" s="5" t="n"/>
      <c r="G296" s="5" t="n"/>
    </row>
    <row r="297">
      <c r="A297" s="5" t="n"/>
      <c r="B297" s="12" t="n"/>
      <c r="C297" s="5" t="n"/>
      <c r="D297" s="8">
        <f>IF($C297="","",IFERROR(INDEX('Master Inventory'!$B:$B,MATCH($C297,'Master Inventory'!$A:$A,0)),""))</f>
        <v/>
      </c>
      <c r="E297" s="8">
        <f>IF($C297="","",IFERROR(INDEX('Master Inventory'!$C:$C,MATCH($C297,'Master Inventory'!$A:$A,0)),""))</f>
        <v/>
      </c>
      <c r="F297" s="5" t="n"/>
      <c r="G297" s="5" t="n"/>
    </row>
    <row r="298">
      <c r="A298" s="5" t="n"/>
      <c r="B298" s="12" t="n"/>
      <c r="C298" s="5" t="n"/>
      <c r="D298" s="8">
        <f>IF($C298="","",IFERROR(INDEX('Master Inventory'!$B:$B,MATCH($C298,'Master Inventory'!$A:$A,0)),""))</f>
        <v/>
      </c>
      <c r="E298" s="8">
        <f>IF($C298="","",IFERROR(INDEX('Master Inventory'!$C:$C,MATCH($C298,'Master Inventory'!$A:$A,0)),""))</f>
        <v/>
      </c>
      <c r="F298" s="5" t="n"/>
      <c r="G298" s="5" t="n"/>
    </row>
    <row r="299">
      <c r="A299" s="5" t="n"/>
      <c r="B299" s="12" t="n"/>
      <c r="C299" s="5" t="n"/>
      <c r="D299" s="8">
        <f>IF($C299="","",IFERROR(INDEX('Master Inventory'!$B:$B,MATCH($C299,'Master Inventory'!$A:$A,0)),""))</f>
        <v/>
      </c>
      <c r="E299" s="8">
        <f>IF($C299="","",IFERROR(INDEX('Master Inventory'!$C:$C,MATCH($C299,'Master Inventory'!$A:$A,0)),""))</f>
        <v/>
      </c>
      <c r="F299" s="5" t="n"/>
      <c r="G299" s="5" t="n"/>
    </row>
    <row r="300">
      <c r="A300" s="5" t="n"/>
      <c r="B300" s="12" t="n"/>
      <c r="C300" s="5" t="n"/>
      <c r="D300" s="8">
        <f>IF($C300="","",IFERROR(INDEX('Master Inventory'!$B:$B,MATCH($C300,'Master Inventory'!$A:$A,0)),""))</f>
        <v/>
      </c>
      <c r="E300" s="8">
        <f>IF($C300="","",IFERROR(INDEX('Master Inventory'!$C:$C,MATCH($C300,'Master Inventory'!$A:$A,0)),""))</f>
        <v/>
      </c>
      <c r="F300" s="5" t="n"/>
      <c r="G300" s="5" t="n"/>
    </row>
    <row r="301">
      <c r="A301" s="5" t="n"/>
      <c r="B301" s="12" t="n"/>
      <c r="C301" s="5" t="n"/>
      <c r="D301" s="8">
        <f>IF($C301="","",IFERROR(INDEX('Master Inventory'!$B:$B,MATCH($C301,'Master Inventory'!$A:$A,0)),""))</f>
        <v/>
      </c>
      <c r="E301" s="8">
        <f>IF($C301="","",IFERROR(INDEX('Master Inventory'!$C:$C,MATCH($C301,'Master Inventory'!$A:$A,0)),""))</f>
        <v/>
      </c>
      <c r="F301" s="5" t="n"/>
      <c r="G301" s="5" t="n"/>
    </row>
    <row r="302">
      <c r="A302" s="5" t="n"/>
      <c r="B302" s="12" t="n"/>
      <c r="C302" s="5" t="n"/>
      <c r="D302" s="8">
        <f>IF($C302="","",IFERROR(INDEX('Master Inventory'!$B:$B,MATCH($C302,'Master Inventory'!$A:$A,0)),""))</f>
        <v/>
      </c>
      <c r="E302" s="8">
        <f>IF($C302="","",IFERROR(INDEX('Master Inventory'!$C:$C,MATCH($C302,'Master Inventory'!$A:$A,0)),""))</f>
        <v/>
      </c>
      <c r="F302" s="5" t="n"/>
      <c r="G302" s="5" t="n"/>
    </row>
    <row r="303">
      <c r="A303" s="5" t="n"/>
      <c r="B303" s="12" t="n"/>
      <c r="C303" s="5" t="n"/>
      <c r="D303" s="8">
        <f>IF($C303="","",IFERROR(INDEX('Master Inventory'!$B:$B,MATCH($C303,'Master Inventory'!$A:$A,0)),""))</f>
        <v/>
      </c>
      <c r="E303" s="8">
        <f>IF($C303="","",IFERROR(INDEX('Master Inventory'!$C:$C,MATCH($C303,'Master Inventory'!$A:$A,0)),""))</f>
        <v/>
      </c>
      <c r="F303" s="5" t="n"/>
      <c r="G303" s="5" t="n"/>
    </row>
    <row r="304">
      <c r="A304" s="5" t="n"/>
      <c r="B304" s="12" t="n"/>
      <c r="C304" s="5" t="n"/>
      <c r="D304" s="8">
        <f>IF($C304="","",IFERROR(INDEX('Master Inventory'!$B:$B,MATCH($C304,'Master Inventory'!$A:$A,0)),""))</f>
        <v/>
      </c>
      <c r="E304" s="8">
        <f>IF($C304="","",IFERROR(INDEX('Master Inventory'!$C:$C,MATCH($C304,'Master Inventory'!$A:$A,0)),""))</f>
        <v/>
      </c>
      <c r="F304" s="5" t="n"/>
      <c r="G304" s="5" t="n"/>
    </row>
    <row r="305">
      <c r="A305" s="5" t="n"/>
      <c r="B305" s="12" t="n"/>
      <c r="C305" s="5" t="n"/>
      <c r="D305" s="8">
        <f>IF($C305="","",IFERROR(INDEX('Master Inventory'!$B:$B,MATCH($C305,'Master Inventory'!$A:$A,0)),""))</f>
        <v/>
      </c>
      <c r="E305" s="8">
        <f>IF($C305="","",IFERROR(INDEX('Master Inventory'!$C:$C,MATCH($C305,'Master Inventory'!$A:$A,0)),""))</f>
        <v/>
      </c>
      <c r="F305" s="5" t="n"/>
      <c r="G305" s="5" t="n"/>
    </row>
    <row r="306">
      <c r="A306" s="5" t="n"/>
      <c r="B306" s="12" t="n"/>
      <c r="C306" s="5" t="n"/>
      <c r="D306" s="8">
        <f>IF($C306="","",IFERROR(INDEX('Master Inventory'!$B:$B,MATCH($C306,'Master Inventory'!$A:$A,0)),""))</f>
        <v/>
      </c>
      <c r="E306" s="8">
        <f>IF($C306="","",IFERROR(INDEX('Master Inventory'!$C:$C,MATCH($C306,'Master Inventory'!$A:$A,0)),""))</f>
        <v/>
      </c>
      <c r="F306" s="5" t="n"/>
      <c r="G306" s="5" t="n"/>
    </row>
    <row r="307">
      <c r="A307" s="5" t="n"/>
      <c r="B307" s="12" t="n"/>
      <c r="C307" s="5" t="n"/>
      <c r="D307" s="8">
        <f>IF($C307="","",IFERROR(INDEX('Master Inventory'!$B:$B,MATCH($C307,'Master Inventory'!$A:$A,0)),""))</f>
        <v/>
      </c>
      <c r="E307" s="8">
        <f>IF($C307="","",IFERROR(INDEX('Master Inventory'!$C:$C,MATCH($C307,'Master Inventory'!$A:$A,0)),""))</f>
        <v/>
      </c>
      <c r="F307" s="5" t="n"/>
      <c r="G307" s="5" t="n"/>
    </row>
    <row r="308">
      <c r="A308" s="5" t="n"/>
      <c r="B308" s="12" t="n"/>
      <c r="C308" s="5" t="n"/>
      <c r="D308" s="8">
        <f>IF($C308="","",IFERROR(INDEX('Master Inventory'!$B:$B,MATCH($C308,'Master Inventory'!$A:$A,0)),""))</f>
        <v/>
      </c>
      <c r="E308" s="8">
        <f>IF($C308="","",IFERROR(INDEX('Master Inventory'!$C:$C,MATCH($C308,'Master Inventory'!$A:$A,0)),""))</f>
        <v/>
      </c>
      <c r="F308" s="5" t="n"/>
      <c r="G308" s="5" t="n"/>
    </row>
    <row r="309">
      <c r="A309" s="5" t="n"/>
      <c r="B309" s="12" t="n"/>
      <c r="C309" s="5" t="n"/>
      <c r="D309" s="8">
        <f>IF($C309="","",IFERROR(INDEX('Master Inventory'!$B:$B,MATCH($C309,'Master Inventory'!$A:$A,0)),""))</f>
        <v/>
      </c>
      <c r="E309" s="8">
        <f>IF($C309="","",IFERROR(INDEX('Master Inventory'!$C:$C,MATCH($C309,'Master Inventory'!$A:$A,0)),""))</f>
        <v/>
      </c>
      <c r="F309" s="5" t="n"/>
      <c r="G309" s="5" t="n"/>
    </row>
    <row r="310">
      <c r="A310" s="5" t="n"/>
      <c r="B310" s="12" t="n"/>
      <c r="C310" s="5" t="n"/>
      <c r="D310" s="8">
        <f>IF($C310="","",IFERROR(INDEX('Master Inventory'!$B:$B,MATCH($C310,'Master Inventory'!$A:$A,0)),""))</f>
        <v/>
      </c>
      <c r="E310" s="8">
        <f>IF($C310="","",IFERROR(INDEX('Master Inventory'!$C:$C,MATCH($C310,'Master Inventory'!$A:$A,0)),""))</f>
        <v/>
      </c>
      <c r="F310" s="5" t="n"/>
      <c r="G310" s="5" t="n"/>
    </row>
    <row r="311">
      <c r="A311" s="5" t="n"/>
      <c r="B311" s="12" t="n"/>
      <c r="C311" s="5" t="n"/>
      <c r="D311" s="8">
        <f>IF($C311="","",IFERROR(INDEX('Master Inventory'!$B:$B,MATCH($C311,'Master Inventory'!$A:$A,0)),""))</f>
        <v/>
      </c>
      <c r="E311" s="8">
        <f>IF($C311="","",IFERROR(INDEX('Master Inventory'!$C:$C,MATCH($C311,'Master Inventory'!$A:$A,0)),""))</f>
        <v/>
      </c>
      <c r="F311" s="5" t="n"/>
      <c r="G311" s="5" t="n"/>
    </row>
    <row r="312">
      <c r="A312" s="5" t="n"/>
      <c r="B312" s="12" t="n"/>
      <c r="C312" s="5" t="n"/>
      <c r="D312" s="8">
        <f>IF($C312="","",IFERROR(INDEX('Master Inventory'!$B:$B,MATCH($C312,'Master Inventory'!$A:$A,0)),""))</f>
        <v/>
      </c>
      <c r="E312" s="8">
        <f>IF($C312="","",IFERROR(INDEX('Master Inventory'!$C:$C,MATCH($C312,'Master Inventory'!$A:$A,0)),""))</f>
        <v/>
      </c>
      <c r="F312" s="5" t="n"/>
      <c r="G312" s="5" t="n"/>
    </row>
    <row r="313">
      <c r="A313" s="5" t="n"/>
      <c r="B313" s="12" t="n"/>
      <c r="C313" s="5" t="n"/>
      <c r="D313" s="8">
        <f>IF($C313="","",IFERROR(INDEX('Master Inventory'!$B:$B,MATCH($C313,'Master Inventory'!$A:$A,0)),""))</f>
        <v/>
      </c>
      <c r="E313" s="8">
        <f>IF($C313="","",IFERROR(INDEX('Master Inventory'!$C:$C,MATCH($C313,'Master Inventory'!$A:$A,0)),""))</f>
        <v/>
      </c>
      <c r="F313" s="5" t="n"/>
      <c r="G313" s="5" t="n"/>
    </row>
    <row r="314">
      <c r="A314" s="5" t="n"/>
      <c r="B314" s="12" t="n"/>
      <c r="C314" s="5" t="n"/>
      <c r="D314" s="8">
        <f>IF($C314="","",IFERROR(INDEX('Master Inventory'!$B:$B,MATCH($C314,'Master Inventory'!$A:$A,0)),""))</f>
        <v/>
      </c>
      <c r="E314" s="8">
        <f>IF($C314="","",IFERROR(INDEX('Master Inventory'!$C:$C,MATCH($C314,'Master Inventory'!$A:$A,0)),""))</f>
        <v/>
      </c>
      <c r="F314" s="5" t="n"/>
      <c r="G314" s="5" t="n"/>
    </row>
    <row r="315">
      <c r="A315" s="5" t="n"/>
      <c r="B315" s="12" t="n"/>
      <c r="C315" s="5" t="n"/>
      <c r="D315" s="8">
        <f>IF($C315="","",IFERROR(INDEX('Master Inventory'!$B:$B,MATCH($C315,'Master Inventory'!$A:$A,0)),""))</f>
        <v/>
      </c>
      <c r="E315" s="8">
        <f>IF($C315="","",IFERROR(INDEX('Master Inventory'!$C:$C,MATCH($C315,'Master Inventory'!$A:$A,0)),""))</f>
        <v/>
      </c>
      <c r="F315" s="5" t="n"/>
      <c r="G315" s="5" t="n"/>
    </row>
    <row r="316">
      <c r="A316" s="5" t="n"/>
      <c r="B316" s="12" t="n"/>
      <c r="C316" s="5" t="n"/>
      <c r="D316" s="8">
        <f>IF($C316="","",IFERROR(INDEX('Master Inventory'!$B:$B,MATCH($C316,'Master Inventory'!$A:$A,0)),""))</f>
        <v/>
      </c>
      <c r="E316" s="8">
        <f>IF($C316="","",IFERROR(INDEX('Master Inventory'!$C:$C,MATCH($C316,'Master Inventory'!$A:$A,0)),""))</f>
        <v/>
      </c>
      <c r="F316" s="5" t="n"/>
      <c r="G316" s="5" t="n"/>
    </row>
    <row r="317">
      <c r="A317" s="5" t="n"/>
      <c r="B317" s="12" t="n"/>
      <c r="C317" s="5" t="n"/>
      <c r="D317" s="8">
        <f>IF($C317="","",IFERROR(INDEX('Master Inventory'!$B:$B,MATCH($C317,'Master Inventory'!$A:$A,0)),""))</f>
        <v/>
      </c>
      <c r="E317" s="8">
        <f>IF($C317="","",IFERROR(INDEX('Master Inventory'!$C:$C,MATCH($C317,'Master Inventory'!$A:$A,0)),""))</f>
        <v/>
      </c>
      <c r="F317" s="5" t="n"/>
      <c r="G317" s="5" t="n"/>
    </row>
    <row r="318">
      <c r="A318" s="5" t="n"/>
      <c r="B318" s="12" t="n"/>
      <c r="C318" s="5" t="n"/>
      <c r="D318" s="8">
        <f>IF($C318="","",IFERROR(INDEX('Master Inventory'!$B:$B,MATCH($C318,'Master Inventory'!$A:$A,0)),""))</f>
        <v/>
      </c>
      <c r="E318" s="8">
        <f>IF($C318="","",IFERROR(INDEX('Master Inventory'!$C:$C,MATCH($C318,'Master Inventory'!$A:$A,0)),""))</f>
        <v/>
      </c>
      <c r="F318" s="5" t="n"/>
      <c r="G318" s="5" t="n"/>
    </row>
    <row r="319">
      <c r="A319" s="5" t="n"/>
      <c r="B319" s="12" t="n"/>
      <c r="C319" s="5" t="n"/>
      <c r="D319" s="8">
        <f>IF($C319="","",IFERROR(INDEX('Master Inventory'!$B:$B,MATCH($C319,'Master Inventory'!$A:$A,0)),""))</f>
        <v/>
      </c>
      <c r="E319" s="8">
        <f>IF($C319="","",IFERROR(INDEX('Master Inventory'!$C:$C,MATCH($C319,'Master Inventory'!$A:$A,0)),""))</f>
        <v/>
      </c>
      <c r="F319" s="5" t="n"/>
      <c r="G319" s="5" t="n"/>
    </row>
    <row r="320">
      <c r="A320" s="5" t="n"/>
      <c r="B320" s="12" t="n"/>
      <c r="C320" s="5" t="n"/>
      <c r="D320" s="8">
        <f>IF($C320="","",IFERROR(INDEX('Master Inventory'!$B:$B,MATCH($C320,'Master Inventory'!$A:$A,0)),""))</f>
        <v/>
      </c>
      <c r="E320" s="8">
        <f>IF($C320="","",IFERROR(INDEX('Master Inventory'!$C:$C,MATCH($C320,'Master Inventory'!$A:$A,0)),""))</f>
        <v/>
      </c>
      <c r="F320" s="5" t="n"/>
      <c r="G320" s="5" t="n"/>
    </row>
    <row r="321">
      <c r="A321" s="5" t="n"/>
      <c r="B321" s="12" t="n"/>
      <c r="C321" s="5" t="n"/>
      <c r="D321" s="8">
        <f>IF($C321="","",IFERROR(INDEX('Master Inventory'!$B:$B,MATCH($C321,'Master Inventory'!$A:$A,0)),""))</f>
        <v/>
      </c>
      <c r="E321" s="8">
        <f>IF($C321="","",IFERROR(INDEX('Master Inventory'!$C:$C,MATCH($C321,'Master Inventory'!$A:$A,0)),""))</f>
        <v/>
      </c>
      <c r="F321" s="5" t="n"/>
      <c r="G321" s="5" t="n"/>
    </row>
    <row r="322">
      <c r="A322" s="5" t="n"/>
      <c r="B322" s="12" t="n"/>
      <c r="C322" s="5" t="n"/>
      <c r="D322" s="8">
        <f>IF($C322="","",IFERROR(INDEX('Master Inventory'!$B:$B,MATCH($C322,'Master Inventory'!$A:$A,0)),""))</f>
        <v/>
      </c>
      <c r="E322" s="8">
        <f>IF($C322="","",IFERROR(INDEX('Master Inventory'!$C:$C,MATCH($C322,'Master Inventory'!$A:$A,0)),""))</f>
        <v/>
      </c>
      <c r="F322" s="5" t="n"/>
      <c r="G322" s="5" t="n"/>
    </row>
    <row r="323">
      <c r="A323" s="5" t="n"/>
      <c r="B323" s="12" t="n"/>
      <c r="C323" s="5" t="n"/>
      <c r="D323" s="8">
        <f>IF($C323="","",IFERROR(INDEX('Master Inventory'!$B:$B,MATCH($C323,'Master Inventory'!$A:$A,0)),""))</f>
        <v/>
      </c>
      <c r="E323" s="8">
        <f>IF($C323="","",IFERROR(INDEX('Master Inventory'!$C:$C,MATCH($C323,'Master Inventory'!$A:$A,0)),""))</f>
        <v/>
      </c>
      <c r="F323" s="5" t="n"/>
      <c r="G323" s="5" t="n"/>
    </row>
    <row r="324">
      <c r="A324" s="5" t="n"/>
      <c r="B324" s="12" t="n"/>
      <c r="C324" s="5" t="n"/>
      <c r="D324" s="8">
        <f>IF($C324="","",IFERROR(INDEX('Master Inventory'!$B:$B,MATCH($C324,'Master Inventory'!$A:$A,0)),""))</f>
        <v/>
      </c>
      <c r="E324" s="8">
        <f>IF($C324="","",IFERROR(INDEX('Master Inventory'!$C:$C,MATCH($C324,'Master Inventory'!$A:$A,0)),""))</f>
        <v/>
      </c>
      <c r="F324" s="5" t="n"/>
      <c r="G324" s="5" t="n"/>
    </row>
    <row r="325">
      <c r="A325" s="5" t="n"/>
      <c r="B325" s="12" t="n"/>
      <c r="C325" s="5" t="n"/>
      <c r="D325" s="8">
        <f>IF($C325="","",IFERROR(INDEX('Master Inventory'!$B:$B,MATCH($C325,'Master Inventory'!$A:$A,0)),""))</f>
        <v/>
      </c>
      <c r="E325" s="8">
        <f>IF($C325="","",IFERROR(INDEX('Master Inventory'!$C:$C,MATCH($C325,'Master Inventory'!$A:$A,0)),""))</f>
        <v/>
      </c>
      <c r="F325" s="5" t="n"/>
      <c r="G325" s="5" t="n"/>
    </row>
    <row r="326">
      <c r="A326" s="5" t="n"/>
      <c r="B326" s="12" t="n"/>
      <c r="C326" s="5" t="n"/>
      <c r="D326" s="8">
        <f>IF($C326="","",IFERROR(INDEX('Master Inventory'!$B:$B,MATCH($C326,'Master Inventory'!$A:$A,0)),""))</f>
        <v/>
      </c>
      <c r="E326" s="8">
        <f>IF($C326="","",IFERROR(INDEX('Master Inventory'!$C:$C,MATCH($C326,'Master Inventory'!$A:$A,0)),""))</f>
        <v/>
      </c>
      <c r="F326" s="5" t="n"/>
      <c r="G326" s="5" t="n"/>
    </row>
    <row r="327">
      <c r="A327" s="5" t="n"/>
      <c r="B327" s="12" t="n"/>
      <c r="C327" s="5" t="n"/>
      <c r="D327" s="8">
        <f>IF($C327="","",IFERROR(INDEX('Master Inventory'!$B:$B,MATCH($C327,'Master Inventory'!$A:$A,0)),""))</f>
        <v/>
      </c>
      <c r="E327" s="8">
        <f>IF($C327="","",IFERROR(INDEX('Master Inventory'!$C:$C,MATCH($C327,'Master Inventory'!$A:$A,0)),""))</f>
        <v/>
      </c>
      <c r="F327" s="5" t="n"/>
      <c r="G327" s="5" t="n"/>
    </row>
    <row r="328">
      <c r="A328" s="5" t="n"/>
      <c r="B328" s="12" t="n"/>
      <c r="C328" s="5" t="n"/>
      <c r="D328" s="8">
        <f>IF($C328="","",IFERROR(INDEX('Master Inventory'!$B:$B,MATCH($C328,'Master Inventory'!$A:$A,0)),""))</f>
        <v/>
      </c>
      <c r="E328" s="8">
        <f>IF($C328="","",IFERROR(INDEX('Master Inventory'!$C:$C,MATCH($C328,'Master Inventory'!$A:$A,0)),""))</f>
        <v/>
      </c>
      <c r="F328" s="5" t="n"/>
      <c r="G328" s="5" t="n"/>
    </row>
    <row r="329">
      <c r="A329" s="5" t="n"/>
      <c r="B329" s="12" t="n"/>
      <c r="C329" s="5" t="n"/>
      <c r="D329" s="8">
        <f>IF($C329="","",IFERROR(INDEX('Master Inventory'!$B:$B,MATCH($C329,'Master Inventory'!$A:$A,0)),""))</f>
        <v/>
      </c>
      <c r="E329" s="8">
        <f>IF($C329="","",IFERROR(INDEX('Master Inventory'!$C:$C,MATCH($C329,'Master Inventory'!$A:$A,0)),""))</f>
        <v/>
      </c>
      <c r="F329" s="5" t="n"/>
      <c r="G329" s="5" t="n"/>
    </row>
    <row r="330">
      <c r="A330" s="5" t="n"/>
      <c r="B330" s="12" t="n"/>
      <c r="C330" s="5" t="n"/>
      <c r="D330" s="8">
        <f>IF($C330="","",IFERROR(INDEX('Master Inventory'!$B:$B,MATCH($C330,'Master Inventory'!$A:$A,0)),""))</f>
        <v/>
      </c>
      <c r="E330" s="8">
        <f>IF($C330="","",IFERROR(INDEX('Master Inventory'!$C:$C,MATCH($C330,'Master Inventory'!$A:$A,0)),""))</f>
        <v/>
      </c>
      <c r="F330" s="5" t="n"/>
      <c r="G330" s="5" t="n"/>
    </row>
    <row r="331">
      <c r="A331" s="5" t="n"/>
      <c r="B331" s="12" t="n"/>
      <c r="C331" s="5" t="n"/>
      <c r="D331" s="8">
        <f>IF($C331="","",IFERROR(INDEX('Master Inventory'!$B:$B,MATCH($C331,'Master Inventory'!$A:$A,0)),""))</f>
        <v/>
      </c>
      <c r="E331" s="8">
        <f>IF($C331="","",IFERROR(INDEX('Master Inventory'!$C:$C,MATCH($C331,'Master Inventory'!$A:$A,0)),""))</f>
        <v/>
      </c>
      <c r="F331" s="5" t="n"/>
      <c r="G331" s="5" t="n"/>
    </row>
    <row r="332">
      <c r="A332" s="5" t="n"/>
      <c r="B332" s="12" t="n"/>
      <c r="C332" s="5" t="n"/>
      <c r="D332" s="8">
        <f>IF($C332="","",IFERROR(INDEX('Master Inventory'!$B:$B,MATCH($C332,'Master Inventory'!$A:$A,0)),""))</f>
        <v/>
      </c>
      <c r="E332" s="8">
        <f>IF($C332="","",IFERROR(INDEX('Master Inventory'!$C:$C,MATCH($C332,'Master Inventory'!$A:$A,0)),""))</f>
        <v/>
      </c>
      <c r="F332" s="5" t="n"/>
      <c r="G332" s="5" t="n"/>
    </row>
    <row r="333">
      <c r="A333" s="5" t="n"/>
      <c r="B333" s="12" t="n"/>
      <c r="C333" s="5" t="n"/>
      <c r="D333" s="8">
        <f>IF($C333="","",IFERROR(INDEX('Master Inventory'!$B:$B,MATCH($C333,'Master Inventory'!$A:$A,0)),""))</f>
        <v/>
      </c>
      <c r="E333" s="8">
        <f>IF($C333="","",IFERROR(INDEX('Master Inventory'!$C:$C,MATCH($C333,'Master Inventory'!$A:$A,0)),""))</f>
        <v/>
      </c>
      <c r="F333" s="5" t="n"/>
      <c r="G333" s="5" t="n"/>
    </row>
    <row r="334">
      <c r="A334" s="5" t="n"/>
      <c r="B334" s="12" t="n"/>
      <c r="C334" s="5" t="n"/>
      <c r="D334" s="8">
        <f>IF($C334="","",IFERROR(INDEX('Master Inventory'!$B:$B,MATCH($C334,'Master Inventory'!$A:$A,0)),""))</f>
        <v/>
      </c>
      <c r="E334" s="8">
        <f>IF($C334="","",IFERROR(INDEX('Master Inventory'!$C:$C,MATCH($C334,'Master Inventory'!$A:$A,0)),""))</f>
        <v/>
      </c>
      <c r="F334" s="5" t="n"/>
      <c r="G334" s="5" t="n"/>
    </row>
    <row r="335">
      <c r="A335" s="5" t="n"/>
      <c r="B335" s="12" t="n"/>
      <c r="C335" s="5" t="n"/>
      <c r="D335" s="8">
        <f>IF($C335="","",IFERROR(INDEX('Master Inventory'!$B:$B,MATCH($C335,'Master Inventory'!$A:$A,0)),""))</f>
        <v/>
      </c>
      <c r="E335" s="8">
        <f>IF($C335="","",IFERROR(INDEX('Master Inventory'!$C:$C,MATCH($C335,'Master Inventory'!$A:$A,0)),""))</f>
        <v/>
      </c>
      <c r="F335" s="5" t="n"/>
      <c r="G335" s="5" t="n"/>
    </row>
    <row r="336">
      <c r="A336" s="5" t="n"/>
      <c r="B336" s="12" t="n"/>
      <c r="C336" s="5" t="n"/>
      <c r="D336" s="8">
        <f>IF($C336="","",IFERROR(INDEX('Master Inventory'!$B:$B,MATCH($C336,'Master Inventory'!$A:$A,0)),""))</f>
        <v/>
      </c>
      <c r="E336" s="8">
        <f>IF($C336="","",IFERROR(INDEX('Master Inventory'!$C:$C,MATCH($C336,'Master Inventory'!$A:$A,0)),""))</f>
        <v/>
      </c>
      <c r="F336" s="5" t="n"/>
      <c r="G336" s="5" t="n"/>
    </row>
    <row r="337">
      <c r="A337" s="5" t="n"/>
      <c r="B337" s="12" t="n"/>
      <c r="C337" s="5" t="n"/>
      <c r="D337" s="8">
        <f>IF($C337="","",IFERROR(INDEX('Master Inventory'!$B:$B,MATCH($C337,'Master Inventory'!$A:$A,0)),""))</f>
        <v/>
      </c>
      <c r="E337" s="8">
        <f>IF($C337="","",IFERROR(INDEX('Master Inventory'!$C:$C,MATCH($C337,'Master Inventory'!$A:$A,0)),""))</f>
        <v/>
      </c>
      <c r="F337" s="5" t="n"/>
      <c r="G337" s="5" t="n"/>
    </row>
    <row r="338">
      <c r="A338" s="5" t="n"/>
      <c r="B338" s="12" t="n"/>
      <c r="C338" s="5" t="n"/>
      <c r="D338" s="8">
        <f>IF($C338="","",IFERROR(INDEX('Master Inventory'!$B:$B,MATCH($C338,'Master Inventory'!$A:$A,0)),""))</f>
        <v/>
      </c>
      <c r="E338" s="8">
        <f>IF($C338="","",IFERROR(INDEX('Master Inventory'!$C:$C,MATCH($C338,'Master Inventory'!$A:$A,0)),""))</f>
        <v/>
      </c>
      <c r="F338" s="5" t="n"/>
      <c r="G338" s="5" t="n"/>
    </row>
    <row r="339">
      <c r="A339" s="5" t="n"/>
      <c r="B339" s="12" t="n"/>
      <c r="C339" s="5" t="n"/>
      <c r="D339" s="8">
        <f>IF($C339="","",IFERROR(INDEX('Master Inventory'!$B:$B,MATCH($C339,'Master Inventory'!$A:$A,0)),""))</f>
        <v/>
      </c>
      <c r="E339" s="8">
        <f>IF($C339="","",IFERROR(INDEX('Master Inventory'!$C:$C,MATCH($C339,'Master Inventory'!$A:$A,0)),""))</f>
        <v/>
      </c>
      <c r="F339" s="5" t="n"/>
      <c r="G339" s="5" t="n"/>
    </row>
    <row r="340">
      <c r="A340" s="5" t="n"/>
      <c r="B340" s="12" t="n"/>
      <c r="C340" s="5" t="n"/>
      <c r="D340" s="8">
        <f>IF($C340="","",IFERROR(INDEX('Master Inventory'!$B:$B,MATCH($C340,'Master Inventory'!$A:$A,0)),""))</f>
        <v/>
      </c>
      <c r="E340" s="8">
        <f>IF($C340="","",IFERROR(INDEX('Master Inventory'!$C:$C,MATCH($C340,'Master Inventory'!$A:$A,0)),""))</f>
        <v/>
      </c>
      <c r="F340" s="5" t="n"/>
      <c r="G340" s="5" t="n"/>
    </row>
    <row r="341">
      <c r="A341" s="5" t="n"/>
      <c r="B341" s="12" t="n"/>
      <c r="C341" s="5" t="n"/>
      <c r="D341" s="8">
        <f>IF($C341="","",IFERROR(INDEX('Master Inventory'!$B:$B,MATCH($C341,'Master Inventory'!$A:$A,0)),""))</f>
        <v/>
      </c>
      <c r="E341" s="8">
        <f>IF($C341="","",IFERROR(INDEX('Master Inventory'!$C:$C,MATCH($C341,'Master Inventory'!$A:$A,0)),""))</f>
        <v/>
      </c>
      <c r="F341" s="5" t="n"/>
      <c r="G341" s="5" t="n"/>
    </row>
    <row r="342">
      <c r="A342" s="5" t="n"/>
      <c r="B342" s="12" t="n"/>
      <c r="C342" s="5" t="n"/>
      <c r="D342" s="8">
        <f>IF($C342="","",IFERROR(INDEX('Master Inventory'!$B:$B,MATCH($C342,'Master Inventory'!$A:$A,0)),""))</f>
        <v/>
      </c>
      <c r="E342" s="8">
        <f>IF($C342="","",IFERROR(INDEX('Master Inventory'!$C:$C,MATCH($C342,'Master Inventory'!$A:$A,0)),""))</f>
        <v/>
      </c>
      <c r="F342" s="5" t="n"/>
      <c r="G342" s="5" t="n"/>
    </row>
    <row r="343">
      <c r="A343" s="5" t="n"/>
      <c r="B343" s="12" t="n"/>
      <c r="C343" s="5" t="n"/>
      <c r="D343" s="8">
        <f>IF($C343="","",IFERROR(INDEX('Master Inventory'!$B:$B,MATCH($C343,'Master Inventory'!$A:$A,0)),""))</f>
        <v/>
      </c>
      <c r="E343" s="8">
        <f>IF($C343="","",IFERROR(INDEX('Master Inventory'!$C:$C,MATCH($C343,'Master Inventory'!$A:$A,0)),""))</f>
        <v/>
      </c>
      <c r="F343" s="5" t="n"/>
      <c r="G343" s="5" t="n"/>
    </row>
    <row r="344">
      <c r="A344" s="5" t="n"/>
      <c r="B344" s="12" t="n"/>
      <c r="C344" s="5" t="n"/>
      <c r="D344" s="8">
        <f>IF($C344="","",IFERROR(INDEX('Master Inventory'!$B:$B,MATCH($C344,'Master Inventory'!$A:$A,0)),""))</f>
        <v/>
      </c>
      <c r="E344" s="8">
        <f>IF($C344="","",IFERROR(INDEX('Master Inventory'!$C:$C,MATCH($C344,'Master Inventory'!$A:$A,0)),""))</f>
        <v/>
      </c>
      <c r="F344" s="5" t="n"/>
      <c r="G344" s="5" t="n"/>
    </row>
    <row r="345">
      <c r="A345" s="5" t="n"/>
      <c r="B345" s="12" t="n"/>
      <c r="C345" s="5" t="n"/>
      <c r="D345" s="8">
        <f>IF($C345="","",IFERROR(INDEX('Master Inventory'!$B:$B,MATCH($C345,'Master Inventory'!$A:$A,0)),""))</f>
        <v/>
      </c>
      <c r="E345" s="8">
        <f>IF($C345="","",IFERROR(INDEX('Master Inventory'!$C:$C,MATCH($C345,'Master Inventory'!$A:$A,0)),""))</f>
        <v/>
      </c>
      <c r="F345" s="5" t="n"/>
      <c r="G345" s="5" t="n"/>
    </row>
    <row r="346">
      <c r="A346" s="5" t="n"/>
      <c r="B346" s="12" t="n"/>
      <c r="C346" s="5" t="n"/>
      <c r="D346" s="8">
        <f>IF($C346="","",IFERROR(INDEX('Master Inventory'!$B:$B,MATCH($C346,'Master Inventory'!$A:$A,0)),""))</f>
        <v/>
      </c>
      <c r="E346" s="8">
        <f>IF($C346="","",IFERROR(INDEX('Master Inventory'!$C:$C,MATCH($C346,'Master Inventory'!$A:$A,0)),""))</f>
        <v/>
      </c>
      <c r="F346" s="5" t="n"/>
      <c r="G346" s="5" t="n"/>
    </row>
    <row r="347">
      <c r="A347" s="5" t="n"/>
      <c r="B347" s="12" t="n"/>
      <c r="C347" s="5" t="n"/>
      <c r="D347" s="8">
        <f>IF($C347="","",IFERROR(INDEX('Master Inventory'!$B:$B,MATCH($C347,'Master Inventory'!$A:$A,0)),""))</f>
        <v/>
      </c>
      <c r="E347" s="8">
        <f>IF($C347="","",IFERROR(INDEX('Master Inventory'!$C:$C,MATCH($C347,'Master Inventory'!$A:$A,0)),""))</f>
        <v/>
      </c>
      <c r="F347" s="5" t="n"/>
      <c r="G347" s="5" t="n"/>
    </row>
    <row r="348">
      <c r="A348" s="5" t="n"/>
      <c r="B348" s="12" t="n"/>
      <c r="C348" s="5" t="n"/>
      <c r="D348" s="8">
        <f>IF($C348="","",IFERROR(INDEX('Master Inventory'!$B:$B,MATCH($C348,'Master Inventory'!$A:$A,0)),""))</f>
        <v/>
      </c>
      <c r="E348" s="8">
        <f>IF($C348="","",IFERROR(INDEX('Master Inventory'!$C:$C,MATCH($C348,'Master Inventory'!$A:$A,0)),""))</f>
        <v/>
      </c>
      <c r="F348" s="5" t="n"/>
      <c r="G348" s="5" t="n"/>
    </row>
    <row r="349">
      <c r="A349" s="5" t="n"/>
      <c r="B349" s="12" t="n"/>
      <c r="C349" s="5" t="n"/>
      <c r="D349" s="8">
        <f>IF($C349="","",IFERROR(INDEX('Master Inventory'!$B:$B,MATCH($C349,'Master Inventory'!$A:$A,0)),""))</f>
        <v/>
      </c>
      <c r="E349" s="8">
        <f>IF($C349="","",IFERROR(INDEX('Master Inventory'!$C:$C,MATCH($C349,'Master Inventory'!$A:$A,0)),""))</f>
        <v/>
      </c>
      <c r="F349" s="5" t="n"/>
      <c r="G349" s="5" t="n"/>
    </row>
    <row r="350">
      <c r="A350" s="5" t="n"/>
      <c r="B350" s="12" t="n"/>
      <c r="C350" s="5" t="n"/>
      <c r="D350" s="8">
        <f>IF($C350="","",IFERROR(INDEX('Master Inventory'!$B:$B,MATCH($C350,'Master Inventory'!$A:$A,0)),""))</f>
        <v/>
      </c>
      <c r="E350" s="8">
        <f>IF($C350="","",IFERROR(INDEX('Master Inventory'!$C:$C,MATCH($C350,'Master Inventory'!$A:$A,0)),""))</f>
        <v/>
      </c>
      <c r="F350" s="5" t="n"/>
      <c r="G350" s="5" t="n"/>
    </row>
    <row r="351">
      <c r="A351" s="5" t="n"/>
      <c r="B351" s="12" t="n"/>
      <c r="C351" s="5" t="n"/>
      <c r="D351" s="8">
        <f>IF($C351="","",IFERROR(INDEX('Master Inventory'!$B:$B,MATCH($C351,'Master Inventory'!$A:$A,0)),""))</f>
        <v/>
      </c>
      <c r="E351" s="8">
        <f>IF($C351="","",IFERROR(INDEX('Master Inventory'!$C:$C,MATCH($C351,'Master Inventory'!$A:$A,0)),""))</f>
        <v/>
      </c>
      <c r="F351" s="5" t="n"/>
      <c r="G351" s="5" t="n"/>
    </row>
    <row r="352">
      <c r="A352" s="5" t="n"/>
      <c r="B352" s="12" t="n"/>
      <c r="C352" s="5" t="n"/>
      <c r="D352" s="8">
        <f>IF($C352="","",IFERROR(INDEX('Master Inventory'!$B:$B,MATCH($C352,'Master Inventory'!$A:$A,0)),""))</f>
        <v/>
      </c>
      <c r="E352" s="8">
        <f>IF($C352="","",IFERROR(INDEX('Master Inventory'!$C:$C,MATCH($C352,'Master Inventory'!$A:$A,0)),""))</f>
        <v/>
      </c>
      <c r="F352" s="5" t="n"/>
      <c r="G352" s="5" t="n"/>
    </row>
    <row r="353">
      <c r="A353" s="5" t="n"/>
      <c r="B353" s="12" t="n"/>
      <c r="C353" s="5" t="n"/>
      <c r="D353" s="8">
        <f>IF($C353="","",IFERROR(INDEX('Master Inventory'!$B:$B,MATCH($C353,'Master Inventory'!$A:$A,0)),""))</f>
        <v/>
      </c>
      <c r="E353" s="8">
        <f>IF($C353="","",IFERROR(INDEX('Master Inventory'!$C:$C,MATCH($C353,'Master Inventory'!$A:$A,0)),""))</f>
        <v/>
      </c>
      <c r="F353" s="5" t="n"/>
      <c r="G353" s="5" t="n"/>
    </row>
    <row r="354">
      <c r="A354" s="5" t="n"/>
      <c r="B354" s="12" t="n"/>
      <c r="C354" s="5" t="n"/>
      <c r="D354" s="8">
        <f>IF($C354="","",IFERROR(INDEX('Master Inventory'!$B:$B,MATCH($C354,'Master Inventory'!$A:$A,0)),""))</f>
        <v/>
      </c>
      <c r="E354" s="8">
        <f>IF($C354="","",IFERROR(INDEX('Master Inventory'!$C:$C,MATCH($C354,'Master Inventory'!$A:$A,0)),""))</f>
        <v/>
      </c>
      <c r="F354" s="5" t="n"/>
      <c r="G354" s="5" t="n"/>
    </row>
    <row r="355">
      <c r="A355" s="5" t="n"/>
      <c r="B355" s="12" t="n"/>
      <c r="C355" s="5" t="n"/>
      <c r="D355" s="8">
        <f>IF($C355="","",IFERROR(INDEX('Master Inventory'!$B:$B,MATCH($C355,'Master Inventory'!$A:$A,0)),""))</f>
        <v/>
      </c>
      <c r="E355" s="8">
        <f>IF($C355="","",IFERROR(INDEX('Master Inventory'!$C:$C,MATCH($C355,'Master Inventory'!$A:$A,0)),""))</f>
        <v/>
      </c>
      <c r="F355" s="5" t="n"/>
      <c r="G355" s="5" t="n"/>
    </row>
    <row r="356">
      <c r="A356" s="5" t="n"/>
      <c r="B356" s="12" t="n"/>
      <c r="C356" s="5" t="n"/>
      <c r="D356" s="8">
        <f>IF($C356="","",IFERROR(INDEX('Master Inventory'!$B:$B,MATCH($C356,'Master Inventory'!$A:$A,0)),""))</f>
        <v/>
      </c>
      <c r="E356" s="8">
        <f>IF($C356="","",IFERROR(INDEX('Master Inventory'!$C:$C,MATCH($C356,'Master Inventory'!$A:$A,0)),""))</f>
        <v/>
      </c>
      <c r="F356" s="5" t="n"/>
      <c r="G356" s="5" t="n"/>
    </row>
    <row r="357">
      <c r="A357" s="5" t="n"/>
      <c r="B357" s="12" t="n"/>
      <c r="C357" s="5" t="n"/>
      <c r="D357" s="8">
        <f>IF($C357="","",IFERROR(INDEX('Master Inventory'!$B:$B,MATCH($C357,'Master Inventory'!$A:$A,0)),""))</f>
        <v/>
      </c>
      <c r="E357" s="8">
        <f>IF($C357="","",IFERROR(INDEX('Master Inventory'!$C:$C,MATCH($C357,'Master Inventory'!$A:$A,0)),""))</f>
        <v/>
      </c>
      <c r="F357" s="5" t="n"/>
      <c r="G357" s="5" t="n"/>
    </row>
    <row r="358">
      <c r="A358" s="5" t="n"/>
      <c r="B358" s="12" t="n"/>
      <c r="C358" s="5" t="n"/>
      <c r="D358" s="8">
        <f>IF($C358="","",IFERROR(INDEX('Master Inventory'!$B:$B,MATCH($C358,'Master Inventory'!$A:$A,0)),""))</f>
        <v/>
      </c>
      <c r="E358" s="8">
        <f>IF($C358="","",IFERROR(INDEX('Master Inventory'!$C:$C,MATCH($C358,'Master Inventory'!$A:$A,0)),""))</f>
        <v/>
      </c>
      <c r="F358" s="5" t="n"/>
      <c r="G358" s="5" t="n"/>
    </row>
    <row r="359">
      <c r="A359" s="5" t="n"/>
      <c r="B359" s="12" t="n"/>
      <c r="C359" s="5" t="n"/>
      <c r="D359" s="8">
        <f>IF($C359="","",IFERROR(INDEX('Master Inventory'!$B:$B,MATCH($C359,'Master Inventory'!$A:$A,0)),""))</f>
        <v/>
      </c>
      <c r="E359" s="8">
        <f>IF($C359="","",IFERROR(INDEX('Master Inventory'!$C:$C,MATCH($C359,'Master Inventory'!$A:$A,0)),""))</f>
        <v/>
      </c>
      <c r="F359" s="5" t="n"/>
      <c r="G359" s="5" t="n"/>
    </row>
    <row r="360">
      <c r="A360" s="5" t="n"/>
      <c r="B360" s="12" t="n"/>
      <c r="C360" s="5" t="n"/>
      <c r="D360" s="8">
        <f>IF($C360="","",IFERROR(INDEX('Master Inventory'!$B:$B,MATCH($C360,'Master Inventory'!$A:$A,0)),""))</f>
        <v/>
      </c>
      <c r="E360" s="8">
        <f>IF($C360="","",IFERROR(INDEX('Master Inventory'!$C:$C,MATCH($C360,'Master Inventory'!$A:$A,0)),""))</f>
        <v/>
      </c>
      <c r="F360" s="5" t="n"/>
      <c r="G360" s="5" t="n"/>
    </row>
    <row r="361">
      <c r="A361" s="5" t="n"/>
      <c r="B361" s="12" t="n"/>
      <c r="C361" s="5" t="n"/>
      <c r="D361" s="8">
        <f>IF($C361="","",IFERROR(INDEX('Master Inventory'!$B:$B,MATCH($C361,'Master Inventory'!$A:$A,0)),""))</f>
        <v/>
      </c>
      <c r="E361" s="8">
        <f>IF($C361="","",IFERROR(INDEX('Master Inventory'!$C:$C,MATCH($C361,'Master Inventory'!$A:$A,0)),""))</f>
        <v/>
      </c>
      <c r="F361" s="5" t="n"/>
      <c r="G361" s="5" t="n"/>
    </row>
    <row r="362">
      <c r="A362" s="5" t="n"/>
      <c r="B362" s="12" t="n"/>
      <c r="C362" s="5" t="n"/>
      <c r="D362" s="8">
        <f>IF($C362="","",IFERROR(INDEX('Master Inventory'!$B:$B,MATCH($C362,'Master Inventory'!$A:$A,0)),""))</f>
        <v/>
      </c>
      <c r="E362" s="8">
        <f>IF($C362="","",IFERROR(INDEX('Master Inventory'!$C:$C,MATCH($C362,'Master Inventory'!$A:$A,0)),""))</f>
        <v/>
      </c>
      <c r="F362" s="5" t="n"/>
      <c r="G362" s="5" t="n"/>
    </row>
    <row r="363">
      <c r="A363" s="5" t="n"/>
      <c r="B363" s="12" t="n"/>
      <c r="C363" s="5" t="n"/>
      <c r="D363" s="8">
        <f>IF($C363="","",IFERROR(INDEX('Master Inventory'!$B:$B,MATCH($C363,'Master Inventory'!$A:$A,0)),""))</f>
        <v/>
      </c>
      <c r="E363" s="8">
        <f>IF($C363="","",IFERROR(INDEX('Master Inventory'!$C:$C,MATCH($C363,'Master Inventory'!$A:$A,0)),""))</f>
        <v/>
      </c>
      <c r="F363" s="5" t="n"/>
      <c r="G363" s="5" t="n"/>
    </row>
    <row r="364">
      <c r="A364" s="5" t="n"/>
      <c r="B364" s="12" t="n"/>
      <c r="C364" s="5" t="n"/>
      <c r="D364" s="8">
        <f>IF($C364="","",IFERROR(INDEX('Master Inventory'!$B:$B,MATCH($C364,'Master Inventory'!$A:$A,0)),""))</f>
        <v/>
      </c>
      <c r="E364" s="8">
        <f>IF($C364="","",IFERROR(INDEX('Master Inventory'!$C:$C,MATCH($C364,'Master Inventory'!$A:$A,0)),""))</f>
        <v/>
      </c>
      <c r="F364" s="5" t="n"/>
      <c r="G364" s="5" t="n"/>
    </row>
    <row r="365">
      <c r="A365" s="5" t="n"/>
      <c r="B365" s="12" t="n"/>
      <c r="C365" s="5" t="n"/>
      <c r="D365" s="8">
        <f>IF($C365="","",IFERROR(INDEX('Master Inventory'!$B:$B,MATCH($C365,'Master Inventory'!$A:$A,0)),""))</f>
        <v/>
      </c>
      <c r="E365" s="8">
        <f>IF($C365="","",IFERROR(INDEX('Master Inventory'!$C:$C,MATCH($C365,'Master Inventory'!$A:$A,0)),""))</f>
        <v/>
      </c>
      <c r="F365" s="5" t="n"/>
      <c r="G365" s="5" t="n"/>
    </row>
    <row r="366">
      <c r="A366" s="5" t="n"/>
      <c r="B366" s="12" t="n"/>
      <c r="C366" s="5" t="n"/>
      <c r="D366" s="8">
        <f>IF($C366="","",IFERROR(INDEX('Master Inventory'!$B:$B,MATCH($C366,'Master Inventory'!$A:$A,0)),""))</f>
        <v/>
      </c>
      <c r="E366" s="8">
        <f>IF($C366="","",IFERROR(INDEX('Master Inventory'!$C:$C,MATCH($C366,'Master Inventory'!$A:$A,0)),""))</f>
        <v/>
      </c>
      <c r="F366" s="5" t="n"/>
      <c r="G366" s="5" t="n"/>
    </row>
    <row r="367">
      <c r="A367" s="5" t="n"/>
      <c r="B367" s="12" t="n"/>
      <c r="C367" s="5" t="n"/>
      <c r="D367" s="8">
        <f>IF($C367="","",IFERROR(INDEX('Master Inventory'!$B:$B,MATCH($C367,'Master Inventory'!$A:$A,0)),""))</f>
        <v/>
      </c>
      <c r="E367" s="8">
        <f>IF($C367="","",IFERROR(INDEX('Master Inventory'!$C:$C,MATCH($C367,'Master Inventory'!$A:$A,0)),""))</f>
        <v/>
      </c>
      <c r="F367" s="5" t="n"/>
      <c r="G367" s="5" t="n"/>
    </row>
    <row r="368">
      <c r="A368" s="5" t="n"/>
      <c r="B368" s="12" t="n"/>
      <c r="C368" s="5" t="n"/>
      <c r="D368" s="8">
        <f>IF($C368="","",IFERROR(INDEX('Master Inventory'!$B:$B,MATCH($C368,'Master Inventory'!$A:$A,0)),""))</f>
        <v/>
      </c>
      <c r="E368" s="8">
        <f>IF($C368="","",IFERROR(INDEX('Master Inventory'!$C:$C,MATCH($C368,'Master Inventory'!$A:$A,0)),""))</f>
        <v/>
      </c>
      <c r="F368" s="5" t="n"/>
      <c r="G368" s="5" t="n"/>
    </row>
    <row r="369">
      <c r="A369" s="5" t="n"/>
      <c r="B369" s="12" t="n"/>
      <c r="C369" s="5" t="n"/>
      <c r="D369" s="8">
        <f>IF($C369="","",IFERROR(INDEX('Master Inventory'!$B:$B,MATCH($C369,'Master Inventory'!$A:$A,0)),""))</f>
        <v/>
      </c>
      <c r="E369" s="8">
        <f>IF($C369="","",IFERROR(INDEX('Master Inventory'!$C:$C,MATCH($C369,'Master Inventory'!$A:$A,0)),""))</f>
        <v/>
      </c>
      <c r="F369" s="5" t="n"/>
      <c r="G369" s="5" t="n"/>
    </row>
    <row r="370">
      <c r="A370" s="5" t="n"/>
      <c r="B370" s="12" t="n"/>
      <c r="C370" s="5" t="n"/>
      <c r="D370" s="8">
        <f>IF($C370="","",IFERROR(INDEX('Master Inventory'!$B:$B,MATCH($C370,'Master Inventory'!$A:$A,0)),""))</f>
        <v/>
      </c>
      <c r="E370" s="8">
        <f>IF($C370="","",IFERROR(INDEX('Master Inventory'!$C:$C,MATCH($C370,'Master Inventory'!$A:$A,0)),""))</f>
        <v/>
      </c>
      <c r="F370" s="5" t="n"/>
      <c r="G370" s="5" t="n"/>
    </row>
    <row r="371">
      <c r="A371" s="5" t="n"/>
      <c r="B371" s="12" t="n"/>
      <c r="C371" s="5" t="n"/>
      <c r="D371" s="8">
        <f>IF($C371="","",IFERROR(INDEX('Master Inventory'!$B:$B,MATCH($C371,'Master Inventory'!$A:$A,0)),""))</f>
        <v/>
      </c>
      <c r="E371" s="8">
        <f>IF($C371="","",IFERROR(INDEX('Master Inventory'!$C:$C,MATCH($C371,'Master Inventory'!$A:$A,0)),""))</f>
        <v/>
      </c>
      <c r="F371" s="5" t="n"/>
      <c r="G371" s="5" t="n"/>
    </row>
    <row r="372">
      <c r="A372" s="5" t="n"/>
      <c r="B372" s="12" t="n"/>
      <c r="C372" s="5" t="n"/>
      <c r="D372" s="8">
        <f>IF($C372="","",IFERROR(INDEX('Master Inventory'!$B:$B,MATCH($C372,'Master Inventory'!$A:$A,0)),""))</f>
        <v/>
      </c>
      <c r="E372" s="8">
        <f>IF($C372="","",IFERROR(INDEX('Master Inventory'!$C:$C,MATCH($C372,'Master Inventory'!$A:$A,0)),""))</f>
        <v/>
      </c>
      <c r="F372" s="5" t="n"/>
      <c r="G372" s="5" t="n"/>
    </row>
    <row r="373">
      <c r="A373" s="5" t="n"/>
      <c r="B373" s="12" t="n"/>
      <c r="C373" s="5" t="n"/>
      <c r="D373" s="8">
        <f>IF($C373="","",IFERROR(INDEX('Master Inventory'!$B:$B,MATCH($C373,'Master Inventory'!$A:$A,0)),""))</f>
        <v/>
      </c>
      <c r="E373" s="8">
        <f>IF($C373="","",IFERROR(INDEX('Master Inventory'!$C:$C,MATCH($C373,'Master Inventory'!$A:$A,0)),""))</f>
        <v/>
      </c>
      <c r="F373" s="5" t="n"/>
      <c r="G373" s="5" t="n"/>
    </row>
    <row r="374">
      <c r="A374" s="5" t="n"/>
      <c r="B374" s="12" t="n"/>
      <c r="C374" s="5" t="n"/>
      <c r="D374" s="8">
        <f>IF($C374="","",IFERROR(INDEX('Master Inventory'!$B:$B,MATCH($C374,'Master Inventory'!$A:$A,0)),""))</f>
        <v/>
      </c>
      <c r="E374" s="8">
        <f>IF($C374="","",IFERROR(INDEX('Master Inventory'!$C:$C,MATCH($C374,'Master Inventory'!$A:$A,0)),""))</f>
        <v/>
      </c>
      <c r="F374" s="5" t="n"/>
      <c r="G374" s="5" t="n"/>
    </row>
    <row r="375">
      <c r="A375" s="5" t="n"/>
      <c r="B375" s="12" t="n"/>
      <c r="C375" s="5" t="n"/>
      <c r="D375" s="8">
        <f>IF($C375="","",IFERROR(INDEX('Master Inventory'!$B:$B,MATCH($C375,'Master Inventory'!$A:$A,0)),""))</f>
        <v/>
      </c>
      <c r="E375" s="8">
        <f>IF($C375="","",IFERROR(INDEX('Master Inventory'!$C:$C,MATCH($C375,'Master Inventory'!$A:$A,0)),""))</f>
        <v/>
      </c>
      <c r="F375" s="5" t="n"/>
      <c r="G375" s="5" t="n"/>
    </row>
    <row r="376">
      <c r="A376" s="5" t="n"/>
      <c r="B376" s="12" t="n"/>
      <c r="C376" s="5" t="n"/>
      <c r="D376" s="8">
        <f>IF($C376="","",IFERROR(INDEX('Master Inventory'!$B:$B,MATCH($C376,'Master Inventory'!$A:$A,0)),""))</f>
        <v/>
      </c>
      <c r="E376" s="8">
        <f>IF($C376="","",IFERROR(INDEX('Master Inventory'!$C:$C,MATCH($C376,'Master Inventory'!$A:$A,0)),""))</f>
        <v/>
      </c>
      <c r="F376" s="5" t="n"/>
      <c r="G376" s="5" t="n"/>
    </row>
    <row r="377">
      <c r="A377" s="5" t="n"/>
      <c r="B377" s="12" t="n"/>
      <c r="C377" s="5" t="n"/>
      <c r="D377" s="8">
        <f>IF($C377="","",IFERROR(INDEX('Master Inventory'!$B:$B,MATCH($C377,'Master Inventory'!$A:$A,0)),""))</f>
        <v/>
      </c>
      <c r="E377" s="8">
        <f>IF($C377="","",IFERROR(INDEX('Master Inventory'!$C:$C,MATCH($C377,'Master Inventory'!$A:$A,0)),""))</f>
        <v/>
      </c>
      <c r="F377" s="5" t="n"/>
      <c r="G377" s="5" t="n"/>
    </row>
    <row r="378">
      <c r="A378" s="5" t="n"/>
      <c r="B378" s="12" t="n"/>
      <c r="C378" s="5" t="n"/>
      <c r="D378" s="8">
        <f>IF($C378="","",IFERROR(INDEX('Master Inventory'!$B:$B,MATCH($C378,'Master Inventory'!$A:$A,0)),""))</f>
        <v/>
      </c>
      <c r="E378" s="8">
        <f>IF($C378="","",IFERROR(INDEX('Master Inventory'!$C:$C,MATCH($C378,'Master Inventory'!$A:$A,0)),""))</f>
        <v/>
      </c>
      <c r="F378" s="5" t="n"/>
      <c r="G378" s="5" t="n"/>
    </row>
    <row r="379">
      <c r="A379" s="5" t="n"/>
      <c r="B379" s="12" t="n"/>
      <c r="C379" s="5" t="n"/>
      <c r="D379" s="8">
        <f>IF($C379="","",IFERROR(INDEX('Master Inventory'!$B:$B,MATCH($C379,'Master Inventory'!$A:$A,0)),""))</f>
        <v/>
      </c>
      <c r="E379" s="8">
        <f>IF($C379="","",IFERROR(INDEX('Master Inventory'!$C:$C,MATCH($C379,'Master Inventory'!$A:$A,0)),""))</f>
        <v/>
      </c>
      <c r="F379" s="5" t="n"/>
      <c r="G379" s="5" t="n"/>
    </row>
    <row r="380">
      <c r="A380" s="5" t="n"/>
      <c r="B380" s="12" t="n"/>
      <c r="C380" s="5" t="n"/>
      <c r="D380" s="8">
        <f>IF($C380="","",IFERROR(INDEX('Master Inventory'!$B:$B,MATCH($C380,'Master Inventory'!$A:$A,0)),""))</f>
        <v/>
      </c>
      <c r="E380" s="8">
        <f>IF($C380="","",IFERROR(INDEX('Master Inventory'!$C:$C,MATCH($C380,'Master Inventory'!$A:$A,0)),""))</f>
        <v/>
      </c>
      <c r="F380" s="5" t="n"/>
      <c r="G380" s="5" t="n"/>
    </row>
    <row r="381">
      <c r="A381" s="5" t="n"/>
      <c r="B381" s="12" t="n"/>
      <c r="C381" s="5" t="n"/>
      <c r="D381" s="8">
        <f>IF($C381="","",IFERROR(INDEX('Master Inventory'!$B:$B,MATCH($C381,'Master Inventory'!$A:$A,0)),""))</f>
        <v/>
      </c>
      <c r="E381" s="8">
        <f>IF($C381="","",IFERROR(INDEX('Master Inventory'!$C:$C,MATCH($C381,'Master Inventory'!$A:$A,0)),""))</f>
        <v/>
      </c>
      <c r="F381" s="5" t="n"/>
      <c r="G381" s="5" t="n"/>
    </row>
    <row r="382">
      <c r="A382" s="5" t="n"/>
      <c r="B382" s="12" t="n"/>
      <c r="C382" s="5" t="n"/>
      <c r="D382" s="8">
        <f>IF($C382="","",IFERROR(INDEX('Master Inventory'!$B:$B,MATCH($C382,'Master Inventory'!$A:$A,0)),""))</f>
        <v/>
      </c>
      <c r="E382" s="8">
        <f>IF($C382="","",IFERROR(INDEX('Master Inventory'!$C:$C,MATCH($C382,'Master Inventory'!$A:$A,0)),""))</f>
        <v/>
      </c>
      <c r="F382" s="5" t="n"/>
      <c r="G382" s="5" t="n"/>
    </row>
    <row r="383">
      <c r="A383" s="5" t="n"/>
      <c r="B383" s="12" t="n"/>
      <c r="C383" s="5" t="n"/>
      <c r="D383" s="8">
        <f>IF($C383="","",IFERROR(INDEX('Master Inventory'!$B:$B,MATCH($C383,'Master Inventory'!$A:$A,0)),""))</f>
        <v/>
      </c>
      <c r="E383" s="8">
        <f>IF($C383="","",IFERROR(INDEX('Master Inventory'!$C:$C,MATCH($C383,'Master Inventory'!$A:$A,0)),""))</f>
        <v/>
      </c>
      <c r="F383" s="5" t="n"/>
      <c r="G383" s="5" t="n"/>
    </row>
    <row r="384">
      <c r="A384" s="5" t="n"/>
      <c r="B384" s="12" t="n"/>
      <c r="C384" s="5" t="n"/>
      <c r="D384" s="8">
        <f>IF($C384="","",IFERROR(INDEX('Master Inventory'!$B:$B,MATCH($C384,'Master Inventory'!$A:$A,0)),""))</f>
        <v/>
      </c>
      <c r="E384" s="8">
        <f>IF($C384="","",IFERROR(INDEX('Master Inventory'!$C:$C,MATCH($C384,'Master Inventory'!$A:$A,0)),""))</f>
        <v/>
      </c>
      <c r="F384" s="5" t="n"/>
      <c r="G384" s="5" t="n"/>
    </row>
    <row r="385">
      <c r="A385" s="5" t="n"/>
      <c r="B385" s="12" t="n"/>
      <c r="C385" s="5" t="n"/>
      <c r="D385" s="8">
        <f>IF($C385="","",IFERROR(INDEX('Master Inventory'!$B:$B,MATCH($C385,'Master Inventory'!$A:$A,0)),""))</f>
        <v/>
      </c>
      <c r="E385" s="8">
        <f>IF($C385="","",IFERROR(INDEX('Master Inventory'!$C:$C,MATCH($C385,'Master Inventory'!$A:$A,0)),""))</f>
        <v/>
      </c>
      <c r="F385" s="5" t="n"/>
      <c r="G385" s="5" t="n"/>
    </row>
    <row r="386">
      <c r="A386" s="5" t="n"/>
      <c r="B386" s="12" t="n"/>
      <c r="C386" s="5" t="n"/>
      <c r="D386" s="8">
        <f>IF($C386="","",IFERROR(INDEX('Master Inventory'!$B:$B,MATCH($C386,'Master Inventory'!$A:$A,0)),""))</f>
        <v/>
      </c>
      <c r="E386" s="8">
        <f>IF($C386="","",IFERROR(INDEX('Master Inventory'!$C:$C,MATCH($C386,'Master Inventory'!$A:$A,0)),""))</f>
        <v/>
      </c>
      <c r="F386" s="5" t="n"/>
      <c r="G386" s="5" t="n"/>
    </row>
    <row r="387">
      <c r="A387" s="5" t="n"/>
      <c r="B387" s="12" t="n"/>
      <c r="C387" s="5" t="n"/>
      <c r="D387" s="8">
        <f>IF($C387="","",IFERROR(INDEX('Master Inventory'!$B:$B,MATCH($C387,'Master Inventory'!$A:$A,0)),""))</f>
        <v/>
      </c>
      <c r="E387" s="8">
        <f>IF($C387="","",IFERROR(INDEX('Master Inventory'!$C:$C,MATCH($C387,'Master Inventory'!$A:$A,0)),""))</f>
        <v/>
      </c>
      <c r="F387" s="5" t="n"/>
      <c r="G387" s="5" t="n"/>
    </row>
    <row r="388">
      <c r="A388" s="5" t="n"/>
      <c r="B388" s="12" t="n"/>
      <c r="C388" s="5" t="n"/>
      <c r="D388" s="8">
        <f>IF($C388="","",IFERROR(INDEX('Master Inventory'!$B:$B,MATCH($C388,'Master Inventory'!$A:$A,0)),""))</f>
        <v/>
      </c>
      <c r="E388" s="8">
        <f>IF($C388="","",IFERROR(INDEX('Master Inventory'!$C:$C,MATCH($C388,'Master Inventory'!$A:$A,0)),""))</f>
        <v/>
      </c>
      <c r="F388" s="5" t="n"/>
      <c r="G388" s="5" t="n"/>
    </row>
    <row r="389">
      <c r="A389" s="5" t="n"/>
      <c r="B389" s="12" t="n"/>
      <c r="C389" s="5" t="n"/>
      <c r="D389" s="8">
        <f>IF($C389="","",IFERROR(INDEX('Master Inventory'!$B:$B,MATCH($C389,'Master Inventory'!$A:$A,0)),""))</f>
        <v/>
      </c>
      <c r="E389" s="8">
        <f>IF($C389="","",IFERROR(INDEX('Master Inventory'!$C:$C,MATCH($C389,'Master Inventory'!$A:$A,0)),""))</f>
        <v/>
      </c>
      <c r="F389" s="5" t="n"/>
      <c r="G389" s="5" t="n"/>
    </row>
    <row r="390">
      <c r="A390" s="5" t="n"/>
      <c r="B390" s="12" t="n"/>
      <c r="C390" s="5" t="n"/>
      <c r="D390" s="8">
        <f>IF($C390="","",IFERROR(INDEX('Master Inventory'!$B:$B,MATCH($C390,'Master Inventory'!$A:$A,0)),""))</f>
        <v/>
      </c>
      <c r="E390" s="8">
        <f>IF($C390="","",IFERROR(INDEX('Master Inventory'!$C:$C,MATCH($C390,'Master Inventory'!$A:$A,0)),""))</f>
        <v/>
      </c>
      <c r="F390" s="5" t="n"/>
      <c r="G390" s="5" t="n"/>
    </row>
    <row r="391">
      <c r="A391" s="5" t="n"/>
      <c r="B391" s="12" t="n"/>
      <c r="C391" s="5" t="n"/>
      <c r="D391" s="8">
        <f>IF($C391="","",IFERROR(INDEX('Master Inventory'!$B:$B,MATCH($C391,'Master Inventory'!$A:$A,0)),""))</f>
        <v/>
      </c>
      <c r="E391" s="8">
        <f>IF($C391="","",IFERROR(INDEX('Master Inventory'!$C:$C,MATCH($C391,'Master Inventory'!$A:$A,0)),""))</f>
        <v/>
      </c>
      <c r="F391" s="5" t="n"/>
      <c r="G391" s="5" t="n"/>
    </row>
    <row r="392">
      <c r="A392" s="5" t="n"/>
      <c r="B392" s="12" t="n"/>
      <c r="C392" s="5" t="n"/>
      <c r="D392" s="8">
        <f>IF($C392="","",IFERROR(INDEX('Master Inventory'!$B:$B,MATCH($C392,'Master Inventory'!$A:$A,0)),""))</f>
        <v/>
      </c>
      <c r="E392" s="8">
        <f>IF($C392="","",IFERROR(INDEX('Master Inventory'!$C:$C,MATCH($C392,'Master Inventory'!$A:$A,0)),""))</f>
        <v/>
      </c>
      <c r="F392" s="5" t="n"/>
      <c r="G392" s="5" t="n"/>
    </row>
    <row r="393">
      <c r="A393" s="5" t="n"/>
      <c r="B393" s="12" t="n"/>
      <c r="C393" s="5" t="n"/>
      <c r="D393" s="8">
        <f>IF($C393="","",IFERROR(INDEX('Master Inventory'!$B:$B,MATCH($C393,'Master Inventory'!$A:$A,0)),""))</f>
        <v/>
      </c>
      <c r="E393" s="8">
        <f>IF($C393="","",IFERROR(INDEX('Master Inventory'!$C:$C,MATCH($C393,'Master Inventory'!$A:$A,0)),""))</f>
        <v/>
      </c>
      <c r="F393" s="5" t="n"/>
      <c r="G393" s="5" t="n"/>
    </row>
    <row r="394">
      <c r="A394" s="5" t="n"/>
      <c r="B394" s="12" t="n"/>
      <c r="C394" s="5" t="n"/>
      <c r="D394" s="8">
        <f>IF($C394="","",IFERROR(INDEX('Master Inventory'!$B:$B,MATCH($C394,'Master Inventory'!$A:$A,0)),""))</f>
        <v/>
      </c>
      <c r="E394" s="8">
        <f>IF($C394="","",IFERROR(INDEX('Master Inventory'!$C:$C,MATCH($C394,'Master Inventory'!$A:$A,0)),""))</f>
        <v/>
      </c>
      <c r="F394" s="5" t="n"/>
      <c r="G394" s="5" t="n"/>
    </row>
    <row r="395">
      <c r="A395" s="5" t="n"/>
      <c r="B395" s="12" t="n"/>
      <c r="C395" s="5" t="n"/>
      <c r="D395" s="8">
        <f>IF($C395="","",IFERROR(INDEX('Master Inventory'!$B:$B,MATCH($C395,'Master Inventory'!$A:$A,0)),""))</f>
        <v/>
      </c>
      <c r="E395" s="8">
        <f>IF($C395="","",IFERROR(INDEX('Master Inventory'!$C:$C,MATCH($C395,'Master Inventory'!$A:$A,0)),""))</f>
        <v/>
      </c>
      <c r="F395" s="5" t="n"/>
      <c r="G395" s="5" t="n"/>
    </row>
    <row r="396">
      <c r="A396" s="5" t="n"/>
      <c r="B396" s="12" t="n"/>
      <c r="C396" s="5" t="n"/>
      <c r="D396" s="8">
        <f>IF($C396="","",IFERROR(INDEX('Master Inventory'!$B:$B,MATCH($C396,'Master Inventory'!$A:$A,0)),""))</f>
        <v/>
      </c>
      <c r="E396" s="8">
        <f>IF($C396="","",IFERROR(INDEX('Master Inventory'!$C:$C,MATCH($C396,'Master Inventory'!$A:$A,0)),""))</f>
        <v/>
      </c>
      <c r="F396" s="5" t="n"/>
      <c r="G396" s="5" t="n"/>
    </row>
    <row r="397">
      <c r="A397" s="5" t="n"/>
      <c r="B397" s="12" t="n"/>
      <c r="C397" s="5" t="n"/>
      <c r="D397" s="8">
        <f>IF($C397="","",IFERROR(INDEX('Master Inventory'!$B:$B,MATCH($C397,'Master Inventory'!$A:$A,0)),""))</f>
        <v/>
      </c>
      <c r="E397" s="8">
        <f>IF($C397="","",IFERROR(INDEX('Master Inventory'!$C:$C,MATCH($C397,'Master Inventory'!$A:$A,0)),""))</f>
        <v/>
      </c>
      <c r="F397" s="5" t="n"/>
      <c r="G397" s="5" t="n"/>
    </row>
    <row r="398">
      <c r="A398" s="5" t="n"/>
      <c r="B398" s="12" t="n"/>
      <c r="C398" s="5" t="n"/>
      <c r="D398" s="8">
        <f>IF($C398="","",IFERROR(INDEX('Master Inventory'!$B:$B,MATCH($C398,'Master Inventory'!$A:$A,0)),""))</f>
        <v/>
      </c>
      <c r="E398" s="8">
        <f>IF($C398="","",IFERROR(INDEX('Master Inventory'!$C:$C,MATCH($C398,'Master Inventory'!$A:$A,0)),""))</f>
        <v/>
      </c>
      <c r="F398" s="5" t="n"/>
      <c r="G398" s="5" t="n"/>
    </row>
    <row r="399">
      <c r="A399" s="5" t="n"/>
      <c r="B399" s="12" t="n"/>
      <c r="C399" s="5" t="n"/>
      <c r="D399" s="8">
        <f>IF($C399="","",IFERROR(INDEX('Master Inventory'!$B:$B,MATCH($C399,'Master Inventory'!$A:$A,0)),""))</f>
        <v/>
      </c>
      <c r="E399" s="8">
        <f>IF($C399="","",IFERROR(INDEX('Master Inventory'!$C:$C,MATCH($C399,'Master Inventory'!$A:$A,0)),""))</f>
        <v/>
      </c>
      <c r="F399" s="5" t="n"/>
      <c r="G399" s="5" t="n"/>
    </row>
    <row r="400">
      <c r="A400" s="5" t="n"/>
      <c r="B400" s="12" t="n"/>
      <c r="C400" s="5" t="n"/>
      <c r="D400" s="8">
        <f>IF($C400="","",IFERROR(INDEX('Master Inventory'!$B:$B,MATCH($C400,'Master Inventory'!$A:$A,0)),""))</f>
        <v/>
      </c>
      <c r="E400" s="8">
        <f>IF($C400="","",IFERROR(INDEX('Master Inventory'!$C:$C,MATCH($C400,'Master Inventory'!$A:$A,0)),""))</f>
        <v/>
      </c>
      <c r="F400" s="5" t="n"/>
      <c r="G400" s="5" t="n"/>
    </row>
    <row r="401">
      <c r="A401" s="5" t="n"/>
      <c r="B401" s="12" t="n"/>
      <c r="C401" s="5" t="n"/>
      <c r="D401" s="8">
        <f>IF($C401="","",IFERROR(INDEX('Master Inventory'!$B:$B,MATCH($C401,'Master Inventory'!$A:$A,0)),""))</f>
        <v/>
      </c>
      <c r="E401" s="8">
        <f>IF($C401="","",IFERROR(INDEX('Master Inventory'!$C:$C,MATCH($C401,'Master Inventory'!$A:$A,0)),""))</f>
        <v/>
      </c>
      <c r="F401" s="5" t="n"/>
      <c r="G401" s="5" t="n"/>
    </row>
    <row r="402">
      <c r="A402" s="5" t="n"/>
      <c r="B402" s="12" t="n"/>
      <c r="C402" s="5" t="n"/>
      <c r="D402" s="8">
        <f>IF($C402="","",IFERROR(INDEX('Master Inventory'!$B:$B,MATCH($C402,'Master Inventory'!$A:$A,0)),""))</f>
        <v/>
      </c>
      <c r="E402" s="8">
        <f>IF($C402="","",IFERROR(INDEX('Master Inventory'!$C:$C,MATCH($C402,'Master Inventory'!$A:$A,0)),""))</f>
        <v/>
      </c>
      <c r="F402" s="5" t="n"/>
      <c r="G402" s="5" t="n"/>
    </row>
    <row r="403">
      <c r="A403" s="5" t="n"/>
      <c r="B403" s="12" t="n"/>
      <c r="C403" s="5" t="n"/>
      <c r="D403" s="8">
        <f>IF($C403="","",IFERROR(INDEX('Master Inventory'!$B:$B,MATCH($C403,'Master Inventory'!$A:$A,0)),""))</f>
        <v/>
      </c>
      <c r="E403" s="8">
        <f>IF($C403="","",IFERROR(INDEX('Master Inventory'!$C:$C,MATCH($C403,'Master Inventory'!$A:$A,0)),""))</f>
        <v/>
      </c>
      <c r="F403" s="5" t="n"/>
      <c r="G403" s="5" t="n"/>
    </row>
    <row r="404">
      <c r="A404" s="5" t="n"/>
      <c r="B404" s="12" t="n"/>
      <c r="C404" s="5" t="n"/>
      <c r="D404" s="8">
        <f>IF($C404="","",IFERROR(INDEX('Master Inventory'!$B:$B,MATCH($C404,'Master Inventory'!$A:$A,0)),""))</f>
        <v/>
      </c>
      <c r="E404" s="8">
        <f>IF($C404="","",IFERROR(INDEX('Master Inventory'!$C:$C,MATCH($C404,'Master Inventory'!$A:$A,0)),""))</f>
        <v/>
      </c>
      <c r="F404" s="5" t="n"/>
      <c r="G404" s="5" t="n"/>
    </row>
    <row r="405">
      <c r="A405" s="5" t="n"/>
      <c r="B405" s="12" t="n"/>
      <c r="C405" s="5" t="n"/>
      <c r="D405" s="8">
        <f>IF($C405="","",IFERROR(INDEX('Master Inventory'!$B:$B,MATCH($C405,'Master Inventory'!$A:$A,0)),""))</f>
        <v/>
      </c>
      <c r="E405" s="8">
        <f>IF($C405="","",IFERROR(INDEX('Master Inventory'!$C:$C,MATCH($C405,'Master Inventory'!$A:$A,0)),""))</f>
        <v/>
      </c>
      <c r="F405" s="5" t="n"/>
      <c r="G405" s="5" t="n"/>
    </row>
    <row r="406">
      <c r="A406" s="5" t="n"/>
      <c r="B406" s="12" t="n"/>
      <c r="C406" s="5" t="n"/>
      <c r="D406" s="8">
        <f>IF($C406="","",IFERROR(INDEX('Master Inventory'!$B:$B,MATCH($C406,'Master Inventory'!$A:$A,0)),""))</f>
        <v/>
      </c>
      <c r="E406" s="8">
        <f>IF($C406="","",IFERROR(INDEX('Master Inventory'!$C:$C,MATCH($C406,'Master Inventory'!$A:$A,0)),""))</f>
        <v/>
      </c>
      <c r="F406" s="5" t="n"/>
      <c r="G406" s="5" t="n"/>
    </row>
    <row r="407">
      <c r="A407" s="5" t="n"/>
      <c r="B407" s="12" t="n"/>
      <c r="C407" s="5" t="n"/>
      <c r="D407" s="8">
        <f>IF($C407="","",IFERROR(INDEX('Master Inventory'!$B:$B,MATCH($C407,'Master Inventory'!$A:$A,0)),""))</f>
        <v/>
      </c>
      <c r="E407" s="8">
        <f>IF($C407="","",IFERROR(INDEX('Master Inventory'!$C:$C,MATCH($C407,'Master Inventory'!$A:$A,0)),""))</f>
        <v/>
      </c>
      <c r="F407" s="5" t="n"/>
      <c r="G407" s="5" t="n"/>
    </row>
    <row r="408">
      <c r="A408" s="5" t="n"/>
      <c r="B408" s="12" t="n"/>
      <c r="C408" s="5" t="n"/>
      <c r="D408" s="8">
        <f>IF($C408="","",IFERROR(INDEX('Master Inventory'!$B:$B,MATCH($C408,'Master Inventory'!$A:$A,0)),""))</f>
        <v/>
      </c>
      <c r="E408" s="8">
        <f>IF($C408="","",IFERROR(INDEX('Master Inventory'!$C:$C,MATCH($C408,'Master Inventory'!$A:$A,0)),""))</f>
        <v/>
      </c>
      <c r="F408" s="5" t="n"/>
      <c r="G408" s="5" t="n"/>
    </row>
    <row r="409">
      <c r="A409" s="5" t="n"/>
      <c r="B409" s="12" t="n"/>
      <c r="C409" s="5" t="n"/>
      <c r="D409" s="8">
        <f>IF($C409="","",IFERROR(INDEX('Master Inventory'!$B:$B,MATCH($C409,'Master Inventory'!$A:$A,0)),""))</f>
        <v/>
      </c>
      <c r="E409" s="8">
        <f>IF($C409="","",IFERROR(INDEX('Master Inventory'!$C:$C,MATCH($C409,'Master Inventory'!$A:$A,0)),""))</f>
        <v/>
      </c>
      <c r="F409" s="5" t="n"/>
      <c r="G409" s="5" t="n"/>
    </row>
    <row r="410">
      <c r="A410" s="5" t="n"/>
      <c r="B410" s="12" t="n"/>
      <c r="C410" s="5" t="n"/>
      <c r="D410" s="8">
        <f>IF($C410="","",IFERROR(INDEX('Master Inventory'!$B:$B,MATCH($C410,'Master Inventory'!$A:$A,0)),""))</f>
        <v/>
      </c>
      <c r="E410" s="8">
        <f>IF($C410="","",IFERROR(INDEX('Master Inventory'!$C:$C,MATCH($C410,'Master Inventory'!$A:$A,0)),""))</f>
        <v/>
      </c>
      <c r="F410" s="5" t="n"/>
      <c r="G410" s="5" t="n"/>
    </row>
    <row r="411">
      <c r="A411" s="5" t="n"/>
      <c r="B411" s="12" t="n"/>
      <c r="C411" s="5" t="n"/>
      <c r="D411" s="8">
        <f>IF($C411="","",IFERROR(INDEX('Master Inventory'!$B:$B,MATCH($C411,'Master Inventory'!$A:$A,0)),""))</f>
        <v/>
      </c>
      <c r="E411" s="8">
        <f>IF($C411="","",IFERROR(INDEX('Master Inventory'!$C:$C,MATCH($C411,'Master Inventory'!$A:$A,0)),""))</f>
        <v/>
      </c>
      <c r="F411" s="5" t="n"/>
      <c r="G411" s="5" t="n"/>
    </row>
    <row r="412">
      <c r="A412" s="5" t="n"/>
      <c r="B412" s="12" t="n"/>
      <c r="C412" s="5" t="n"/>
      <c r="D412" s="8">
        <f>IF($C412="","",IFERROR(INDEX('Master Inventory'!$B:$B,MATCH($C412,'Master Inventory'!$A:$A,0)),""))</f>
        <v/>
      </c>
      <c r="E412" s="8">
        <f>IF($C412="","",IFERROR(INDEX('Master Inventory'!$C:$C,MATCH($C412,'Master Inventory'!$A:$A,0)),""))</f>
        <v/>
      </c>
      <c r="F412" s="5" t="n"/>
      <c r="G412" s="5" t="n"/>
    </row>
    <row r="413">
      <c r="A413" s="5" t="n"/>
      <c r="B413" s="12" t="n"/>
      <c r="C413" s="5" t="n"/>
      <c r="D413" s="8">
        <f>IF($C413="","",IFERROR(INDEX('Master Inventory'!$B:$B,MATCH($C413,'Master Inventory'!$A:$A,0)),""))</f>
        <v/>
      </c>
      <c r="E413" s="8">
        <f>IF($C413="","",IFERROR(INDEX('Master Inventory'!$C:$C,MATCH($C413,'Master Inventory'!$A:$A,0)),""))</f>
        <v/>
      </c>
      <c r="F413" s="5" t="n"/>
      <c r="G413" s="5" t="n"/>
    </row>
    <row r="414">
      <c r="A414" s="5" t="n"/>
      <c r="B414" s="12" t="n"/>
      <c r="C414" s="5" t="n"/>
      <c r="D414" s="8">
        <f>IF($C414="","",IFERROR(INDEX('Master Inventory'!$B:$B,MATCH($C414,'Master Inventory'!$A:$A,0)),""))</f>
        <v/>
      </c>
      <c r="E414" s="8">
        <f>IF($C414="","",IFERROR(INDEX('Master Inventory'!$C:$C,MATCH($C414,'Master Inventory'!$A:$A,0)),""))</f>
        <v/>
      </c>
      <c r="F414" s="5" t="n"/>
      <c r="G414" s="5" t="n"/>
    </row>
    <row r="415">
      <c r="A415" s="5" t="n"/>
      <c r="B415" s="12" t="n"/>
      <c r="C415" s="5" t="n"/>
      <c r="D415" s="8">
        <f>IF($C415="","",IFERROR(INDEX('Master Inventory'!$B:$B,MATCH($C415,'Master Inventory'!$A:$A,0)),""))</f>
        <v/>
      </c>
      <c r="E415" s="8">
        <f>IF($C415="","",IFERROR(INDEX('Master Inventory'!$C:$C,MATCH($C415,'Master Inventory'!$A:$A,0)),""))</f>
        <v/>
      </c>
      <c r="F415" s="5" t="n"/>
      <c r="G415" s="5" t="n"/>
    </row>
    <row r="416">
      <c r="A416" s="5" t="n"/>
      <c r="B416" s="12" t="n"/>
      <c r="C416" s="5" t="n"/>
      <c r="D416" s="8">
        <f>IF($C416="","",IFERROR(INDEX('Master Inventory'!$B:$B,MATCH($C416,'Master Inventory'!$A:$A,0)),""))</f>
        <v/>
      </c>
      <c r="E416" s="8">
        <f>IF($C416="","",IFERROR(INDEX('Master Inventory'!$C:$C,MATCH($C416,'Master Inventory'!$A:$A,0)),""))</f>
        <v/>
      </c>
      <c r="F416" s="5" t="n"/>
      <c r="G416" s="5" t="n"/>
    </row>
    <row r="417">
      <c r="A417" s="5" t="n"/>
      <c r="B417" s="12" t="n"/>
      <c r="C417" s="5" t="n"/>
      <c r="D417" s="8">
        <f>IF($C417="","",IFERROR(INDEX('Master Inventory'!$B:$B,MATCH($C417,'Master Inventory'!$A:$A,0)),""))</f>
        <v/>
      </c>
      <c r="E417" s="8">
        <f>IF($C417="","",IFERROR(INDEX('Master Inventory'!$C:$C,MATCH($C417,'Master Inventory'!$A:$A,0)),""))</f>
        <v/>
      </c>
      <c r="F417" s="5" t="n"/>
      <c r="G417" s="5" t="n"/>
    </row>
    <row r="418">
      <c r="A418" s="5" t="n"/>
      <c r="B418" s="12" t="n"/>
      <c r="C418" s="5" t="n"/>
      <c r="D418" s="8">
        <f>IF($C418="","",IFERROR(INDEX('Master Inventory'!$B:$B,MATCH($C418,'Master Inventory'!$A:$A,0)),""))</f>
        <v/>
      </c>
      <c r="E418" s="8">
        <f>IF($C418="","",IFERROR(INDEX('Master Inventory'!$C:$C,MATCH($C418,'Master Inventory'!$A:$A,0)),""))</f>
        <v/>
      </c>
      <c r="F418" s="5" t="n"/>
      <c r="G418" s="5" t="n"/>
    </row>
    <row r="419">
      <c r="A419" s="5" t="n"/>
      <c r="B419" s="12" t="n"/>
      <c r="C419" s="5" t="n"/>
      <c r="D419" s="8">
        <f>IF($C419="","",IFERROR(INDEX('Master Inventory'!$B:$B,MATCH($C419,'Master Inventory'!$A:$A,0)),""))</f>
        <v/>
      </c>
      <c r="E419" s="8">
        <f>IF($C419="","",IFERROR(INDEX('Master Inventory'!$C:$C,MATCH($C419,'Master Inventory'!$A:$A,0)),""))</f>
        <v/>
      </c>
      <c r="F419" s="5" t="n"/>
      <c r="G419" s="5" t="n"/>
    </row>
    <row r="420">
      <c r="A420" s="5" t="n"/>
      <c r="B420" s="12" t="n"/>
      <c r="C420" s="5" t="n"/>
      <c r="D420" s="8">
        <f>IF($C420="","",IFERROR(INDEX('Master Inventory'!$B:$B,MATCH($C420,'Master Inventory'!$A:$A,0)),""))</f>
        <v/>
      </c>
      <c r="E420" s="8">
        <f>IF($C420="","",IFERROR(INDEX('Master Inventory'!$C:$C,MATCH($C420,'Master Inventory'!$A:$A,0)),""))</f>
        <v/>
      </c>
      <c r="F420" s="5" t="n"/>
      <c r="G420" s="5" t="n"/>
    </row>
    <row r="421">
      <c r="A421" s="5" t="n"/>
      <c r="B421" s="12" t="n"/>
      <c r="C421" s="5" t="n"/>
      <c r="D421" s="8">
        <f>IF($C421="","",IFERROR(INDEX('Master Inventory'!$B:$B,MATCH($C421,'Master Inventory'!$A:$A,0)),""))</f>
        <v/>
      </c>
      <c r="E421" s="8">
        <f>IF($C421="","",IFERROR(INDEX('Master Inventory'!$C:$C,MATCH($C421,'Master Inventory'!$A:$A,0)),""))</f>
        <v/>
      </c>
      <c r="F421" s="5" t="n"/>
      <c r="G421" s="5" t="n"/>
    </row>
    <row r="422">
      <c r="A422" s="5" t="n"/>
      <c r="B422" s="12" t="n"/>
      <c r="C422" s="5" t="n"/>
      <c r="D422" s="8">
        <f>IF($C422="","",IFERROR(INDEX('Master Inventory'!$B:$B,MATCH($C422,'Master Inventory'!$A:$A,0)),""))</f>
        <v/>
      </c>
      <c r="E422" s="8">
        <f>IF($C422="","",IFERROR(INDEX('Master Inventory'!$C:$C,MATCH($C422,'Master Inventory'!$A:$A,0)),""))</f>
        <v/>
      </c>
      <c r="F422" s="5" t="n"/>
      <c r="G422" s="5" t="n"/>
    </row>
    <row r="423">
      <c r="A423" s="5" t="n"/>
      <c r="B423" s="12" t="n"/>
      <c r="C423" s="5" t="n"/>
      <c r="D423" s="8">
        <f>IF($C423="","",IFERROR(INDEX('Master Inventory'!$B:$B,MATCH($C423,'Master Inventory'!$A:$A,0)),""))</f>
        <v/>
      </c>
      <c r="E423" s="8">
        <f>IF($C423="","",IFERROR(INDEX('Master Inventory'!$C:$C,MATCH($C423,'Master Inventory'!$A:$A,0)),""))</f>
        <v/>
      </c>
      <c r="F423" s="5" t="n"/>
      <c r="G423" s="5" t="n"/>
    </row>
    <row r="424">
      <c r="A424" s="5" t="n"/>
      <c r="B424" s="12" t="n"/>
      <c r="C424" s="5" t="n"/>
      <c r="D424" s="8">
        <f>IF($C424="","",IFERROR(INDEX('Master Inventory'!$B:$B,MATCH($C424,'Master Inventory'!$A:$A,0)),""))</f>
        <v/>
      </c>
      <c r="E424" s="8">
        <f>IF($C424="","",IFERROR(INDEX('Master Inventory'!$C:$C,MATCH($C424,'Master Inventory'!$A:$A,0)),""))</f>
        <v/>
      </c>
      <c r="F424" s="5" t="n"/>
      <c r="G424" s="5" t="n"/>
    </row>
    <row r="425">
      <c r="A425" s="5" t="n"/>
      <c r="B425" s="12" t="n"/>
      <c r="C425" s="5" t="n"/>
      <c r="D425" s="8">
        <f>IF($C425="","",IFERROR(INDEX('Master Inventory'!$B:$B,MATCH($C425,'Master Inventory'!$A:$A,0)),""))</f>
        <v/>
      </c>
      <c r="E425" s="8">
        <f>IF($C425="","",IFERROR(INDEX('Master Inventory'!$C:$C,MATCH($C425,'Master Inventory'!$A:$A,0)),""))</f>
        <v/>
      </c>
      <c r="F425" s="5" t="n"/>
      <c r="G425" s="5" t="n"/>
    </row>
    <row r="426">
      <c r="A426" s="5" t="n"/>
      <c r="B426" s="12" t="n"/>
      <c r="C426" s="5" t="n"/>
      <c r="D426" s="8">
        <f>IF($C426="","",IFERROR(INDEX('Master Inventory'!$B:$B,MATCH($C426,'Master Inventory'!$A:$A,0)),""))</f>
        <v/>
      </c>
      <c r="E426" s="8">
        <f>IF($C426="","",IFERROR(INDEX('Master Inventory'!$C:$C,MATCH($C426,'Master Inventory'!$A:$A,0)),""))</f>
        <v/>
      </c>
      <c r="F426" s="5" t="n"/>
      <c r="G426" s="5" t="n"/>
    </row>
    <row r="427">
      <c r="A427" s="5" t="n"/>
      <c r="B427" s="12" t="n"/>
      <c r="C427" s="5" t="n"/>
      <c r="D427" s="8">
        <f>IF($C427="","",IFERROR(INDEX('Master Inventory'!$B:$B,MATCH($C427,'Master Inventory'!$A:$A,0)),""))</f>
        <v/>
      </c>
      <c r="E427" s="8">
        <f>IF($C427="","",IFERROR(INDEX('Master Inventory'!$C:$C,MATCH($C427,'Master Inventory'!$A:$A,0)),""))</f>
        <v/>
      </c>
      <c r="F427" s="5" t="n"/>
      <c r="G427" s="5" t="n"/>
    </row>
    <row r="428">
      <c r="A428" s="5" t="n"/>
      <c r="B428" s="12" t="n"/>
      <c r="C428" s="5" t="n"/>
      <c r="D428" s="8">
        <f>IF($C428="","",IFERROR(INDEX('Master Inventory'!$B:$B,MATCH($C428,'Master Inventory'!$A:$A,0)),""))</f>
        <v/>
      </c>
      <c r="E428" s="8">
        <f>IF($C428="","",IFERROR(INDEX('Master Inventory'!$C:$C,MATCH($C428,'Master Inventory'!$A:$A,0)),""))</f>
        <v/>
      </c>
      <c r="F428" s="5" t="n"/>
      <c r="G428" s="5" t="n"/>
    </row>
    <row r="429">
      <c r="A429" s="5" t="n"/>
      <c r="B429" s="12" t="n"/>
      <c r="C429" s="5" t="n"/>
      <c r="D429" s="8">
        <f>IF($C429="","",IFERROR(INDEX('Master Inventory'!$B:$B,MATCH($C429,'Master Inventory'!$A:$A,0)),""))</f>
        <v/>
      </c>
      <c r="E429" s="8">
        <f>IF($C429="","",IFERROR(INDEX('Master Inventory'!$C:$C,MATCH($C429,'Master Inventory'!$A:$A,0)),""))</f>
        <v/>
      </c>
      <c r="F429" s="5" t="n"/>
      <c r="G429" s="5" t="n"/>
    </row>
    <row r="430">
      <c r="A430" s="5" t="n"/>
      <c r="B430" s="12" t="n"/>
      <c r="C430" s="5" t="n"/>
      <c r="D430" s="8">
        <f>IF($C430="","",IFERROR(INDEX('Master Inventory'!$B:$B,MATCH($C430,'Master Inventory'!$A:$A,0)),""))</f>
        <v/>
      </c>
      <c r="E430" s="8">
        <f>IF($C430="","",IFERROR(INDEX('Master Inventory'!$C:$C,MATCH($C430,'Master Inventory'!$A:$A,0)),""))</f>
        <v/>
      </c>
      <c r="F430" s="5" t="n"/>
      <c r="G430" s="5" t="n"/>
    </row>
    <row r="431">
      <c r="A431" s="5" t="n"/>
      <c r="B431" s="12" t="n"/>
      <c r="C431" s="5" t="n"/>
      <c r="D431" s="8">
        <f>IF($C431="","",IFERROR(INDEX('Master Inventory'!$B:$B,MATCH($C431,'Master Inventory'!$A:$A,0)),""))</f>
        <v/>
      </c>
      <c r="E431" s="8">
        <f>IF($C431="","",IFERROR(INDEX('Master Inventory'!$C:$C,MATCH($C431,'Master Inventory'!$A:$A,0)),""))</f>
        <v/>
      </c>
      <c r="F431" s="5" t="n"/>
      <c r="G431" s="5" t="n"/>
    </row>
    <row r="432">
      <c r="A432" s="5" t="n"/>
      <c r="B432" s="12" t="n"/>
      <c r="C432" s="5" t="n"/>
      <c r="D432" s="8">
        <f>IF($C432="","",IFERROR(INDEX('Master Inventory'!$B:$B,MATCH($C432,'Master Inventory'!$A:$A,0)),""))</f>
        <v/>
      </c>
      <c r="E432" s="8">
        <f>IF($C432="","",IFERROR(INDEX('Master Inventory'!$C:$C,MATCH($C432,'Master Inventory'!$A:$A,0)),""))</f>
        <v/>
      </c>
      <c r="F432" s="5" t="n"/>
      <c r="G432" s="5" t="n"/>
    </row>
    <row r="433">
      <c r="A433" s="5" t="n"/>
      <c r="B433" s="12" t="n"/>
      <c r="C433" s="5" t="n"/>
      <c r="D433" s="8">
        <f>IF($C433="","",IFERROR(INDEX('Master Inventory'!$B:$B,MATCH($C433,'Master Inventory'!$A:$A,0)),""))</f>
        <v/>
      </c>
      <c r="E433" s="8">
        <f>IF($C433="","",IFERROR(INDEX('Master Inventory'!$C:$C,MATCH($C433,'Master Inventory'!$A:$A,0)),""))</f>
        <v/>
      </c>
      <c r="F433" s="5" t="n"/>
      <c r="G433" s="5" t="n"/>
    </row>
    <row r="434">
      <c r="A434" s="5" t="n"/>
      <c r="B434" s="12" t="n"/>
      <c r="C434" s="5" t="n"/>
      <c r="D434" s="8">
        <f>IF($C434="","",IFERROR(INDEX('Master Inventory'!$B:$B,MATCH($C434,'Master Inventory'!$A:$A,0)),""))</f>
        <v/>
      </c>
      <c r="E434" s="8">
        <f>IF($C434="","",IFERROR(INDEX('Master Inventory'!$C:$C,MATCH($C434,'Master Inventory'!$A:$A,0)),""))</f>
        <v/>
      </c>
      <c r="F434" s="5" t="n"/>
      <c r="G434" s="5" t="n"/>
    </row>
    <row r="435">
      <c r="A435" s="5" t="n"/>
      <c r="B435" s="12" t="n"/>
      <c r="C435" s="5" t="n"/>
      <c r="D435" s="8">
        <f>IF($C435="","",IFERROR(INDEX('Master Inventory'!$B:$B,MATCH($C435,'Master Inventory'!$A:$A,0)),""))</f>
        <v/>
      </c>
      <c r="E435" s="8">
        <f>IF($C435="","",IFERROR(INDEX('Master Inventory'!$C:$C,MATCH($C435,'Master Inventory'!$A:$A,0)),""))</f>
        <v/>
      </c>
      <c r="F435" s="5" t="n"/>
      <c r="G435" s="5" t="n"/>
    </row>
    <row r="436">
      <c r="A436" s="5" t="n"/>
      <c r="B436" s="12" t="n"/>
      <c r="C436" s="5" t="n"/>
      <c r="D436" s="8">
        <f>IF($C436="","",IFERROR(INDEX('Master Inventory'!$B:$B,MATCH($C436,'Master Inventory'!$A:$A,0)),""))</f>
        <v/>
      </c>
      <c r="E436" s="8">
        <f>IF($C436="","",IFERROR(INDEX('Master Inventory'!$C:$C,MATCH($C436,'Master Inventory'!$A:$A,0)),""))</f>
        <v/>
      </c>
      <c r="F436" s="5" t="n"/>
      <c r="G436" s="5" t="n"/>
    </row>
    <row r="437">
      <c r="A437" s="5" t="n"/>
      <c r="B437" s="12" t="n"/>
      <c r="C437" s="5" t="n"/>
      <c r="D437" s="8">
        <f>IF($C437="","",IFERROR(INDEX('Master Inventory'!$B:$B,MATCH($C437,'Master Inventory'!$A:$A,0)),""))</f>
        <v/>
      </c>
      <c r="E437" s="8">
        <f>IF($C437="","",IFERROR(INDEX('Master Inventory'!$C:$C,MATCH($C437,'Master Inventory'!$A:$A,0)),""))</f>
        <v/>
      </c>
      <c r="F437" s="5" t="n"/>
      <c r="G437" s="5" t="n"/>
    </row>
    <row r="438">
      <c r="A438" s="5" t="n"/>
      <c r="B438" s="12" t="n"/>
      <c r="C438" s="5" t="n"/>
      <c r="D438" s="8">
        <f>IF($C438="","",IFERROR(INDEX('Master Inventory'!$B:$B,MATCH($C438,'Master Inventory'!$A:$A,0)),""))</f>
        <v/>
      </c>
      <c r="E438" s="8">
        <f>IF($C438="","",IFERROR(INDEX('Master Inventory'!$C:$C,MATCH($C438,'Master Inventory'!$A:$A,0)),""))</f>
        <v/>
      </c>
      <c r="F438" s="5" t="n"/>
      <c r="G438" s="5" t="n"/>
    </row>
    <row r="439">
      <c r="A439" s="5" t="n"/>
      <c r="B439" s="12" t="n"/>
      <c r="C439" s="5" t="n"/>
      <c r="D439" s="8">
        <f>IF($C439="","",IFERROR(INDEX('Master Inventory'!$B:$B,MATCH($C439,'Master Inventory'!$A:$A,0)),""))</f>
        <v/>
      </c>
      <c r="E439" s="8">
        <f>IF($C439="","",IFERROR(INDEX('Master Inventory'!$C:$C,MATCH($C439,'Master Inventory'!$A:$A,0)),""))</f>
        <v/>
      </c>
      <c r="F439" s="5" t="n"/>
      <c r="G439" s="5" t="n"/>
    </row>
    <row r="440">
      <c r="A440" s="5" t="n"/>
      <c r="B440" s="12" t="n"/>
      <c r="C440" s="5" t="n"/>
      <c r="D440" s="8">
        <f>IF($C440="","",IFERROR(INDEX('Master Inventory'!$B:$B,MATCH($C440,'Master Inventory'!$A:$A,0)),""))</f>
        <v/>
      </c>
      <c r="E440" s="8">
        <f>IF($C440="","",IFERROR(INDEX('Master Inventory'!$C:$C,MATCH($C440,'Master Inventory'!$A:$A,0)),""))</f>
        <v/>
      </c>
      <c r="F440" s="5" t="n"/>
      <c r="G440" s="5" t="n"/>
    </row>
    <row r="441">
      <c r="A441" s="5" t="n"/>
      <c r="B441" s="12" t="n"/>
      <c r="C441" s="5" t="n"/>
      <c r="D441" s="8">
        <f>IF($C441="","",IFERROR(INDEX('Master Inventory'!$B:$B,MATCH($C441,'Master Inventory'!$A:$A,0)),""))</f>
        <v/>
      </c>
      <c r="E441" s="8">
        <f>IF($C441="","",IFERROR(INDEX('Master Inventory'!$C:$C,MATCH($C441,'Master Inventory'!$A:$A,0)),""))</f>
        <v/>
      </c>
      <c r="F441" s="5" t="n"/>
      <c r="G441" s="5" t="n"/>
    </row>
    <row r="442">
      <c r="A442" s="5" t="n"/>
      <c r="B442" s="12" t="n"/>
      <c r="C442" s="5" t="n"/>
      <c r="D442" s="8">
        <f>IF($C442="","",IFERROR(INDEX('Master Inventory'!$B:$B,MATCH($C442,'Master Inventory'!$A:$A,0)),""))</f>
        <v/>
      </c>
      <c r="E442" s="8">
        <f>IF($C442="","",IFERROR(INDEX('Master Inventory'!$C:$C,MATCH($C442,'Master Inventory'!$A:$A,0)),""))</f>
        <v/>
      </c>
      <c r="F442" s="5" t="n"/>
      <c r="G442" s="5" t="n"/>
    </row>
    <row r="443">
      <c r="A443" s="5" t="n"/>
      <c r="B443" s="12" t="n"/>
      <c r="C443" s="5" t="n"/>
      <c r="D443" s="8">
        <f>IF($C443="","",IFERROR(INDEX('Master Inventory'!$B:$B,MATCH($C443,'Master Inventory'!$A:$A,0)),""))</f>
        <v/>
      </c>
      <c r="E443" s="8">
        <f>IF($C443="","",IFERROR(INDEX('Master Inventory'!$C:$C,MATCH($C443,'Master Inventory'!$A:$A,0)),""))</f>
        <v/>
      </c>
      <c r="F443" s="5" t="n"/>
      <c r="G443" s="5" t="n"/>
    </row>
    <row r="444">
      <c r="A444" s="5" t="n"/>
      <c r="B444" s="12" t="n"/>
      <c r="C444" s="5" t="n"/>
      <c r="D444" s="8">
        <f>IF($C444="","",IFERROR(INDEX('Master Inventory'!$B:$B,MATCH($C444,'Master Inventory'!$A:$A,0)),""))</f>
        <v/>
      </c>
      <c r="E444" s="8">
        <f>IF($C444="","",IFERROR(INDEX('Master Inventory'!$C:$C,MATCH($C444,'Master Inventory'!$A:$A,0)),""))</f>
        <v/>
      </c>
      <c r="F444" s="5" t="n"/>
      <c r="G444" s="5" t="n"/>
    </row>
    <row r="445">
      <c r="A445" s="5" t="n"/>
      <c r="B445" s="12" t="n"/>
      <c r="C445" s="5" t="n"/>
      <c r="D445" s="8">
        <f>IF($C445="","",IFERROR(INDEX('Master Inventory'!$B:$B,MATCH($C445,'Master Inventory'!$A:$A,0)),""))</f>
        <v/>
      </c>
      <c r="E445" s="8">
        <f>IF($C445="","",IFERROR(INDEX('Master Inventory'!$C:$C,MATCH($C445,'Master Inventory'!$A:$A,0)),""))</f>
        <v/>
      </c>
      <c r="F445" s="5" t="n"/>
      <c r="G445" s="5" t="n"/>
    </row>
    <row r="446">
      <c r="A446" s="5" t="n"/>
      <c r="B446" s="12" t="n"/>
      <c r="C446" s="5" t="n"/>
      <c r="D446" s="8">
        <f>IF($C446="","",IFERROR(INDEX('Master Inventory'!$B:$B,MATCH($C446,'Master Inventory'!$A:$A,0)),""))</f>
        <v/>
      </c>
      <c r="E446" s="8">
        <f>IF($C446="","",IFERROR(INDEX('Master Inventory'!$C:$C,MATCH($C446,'Master Inventory'!$A:$A,0)),""))</f>
        <v/>
      </c>
      <c r="F446" s="5" t="n"/>
      <c r="G446" s="5" t="n"/>
    </row>
    <row r="447">
      <c r="A447" s="5" t="n"/>
      <c r="B447" s="12" t="n"/>
      <c r="C447" s="5" t="n"/>
      <c r="D447" s="8">
        <f>IF($C447="","",IFERROR(INDEX('Master Inventory'!$B:$B,MATCH($C447,'Master Inventory'!$A:$A,0)),""))</f>
        <v/>
      </c>
      <c r="E447" s="8">
        <f>IF($C447="","",IFERROR(INDEX('Master Inventory'!$C:$C,MATCH($C447,'Master Inventory'!$A:$A,0)),""))</f>
        <v/>
      </c>
      <c r="F447" s="5" t="n"/>
      <c r="G447" s="5" t="n"/>
    </row>
    <row r="448">
      <c r="A448" s="5" t="n"/>
      <c r="B448" s="12" t="n"/>
      <c r="C448" s="5" t="n"/>
      <c r="D448" s="8">
        <f>IF($C448="","",IFERROR(INDEX('Master Inventory'!$B:$B,MATCH($C448,'Master Inventory'!$A:$A,0)),""))</f>
        <v/>
      </c>
      <c r="E448" s="8">
        <f>IF($C448="","",IFERROR(INDEX('Master Inventory'!$C:$C,MATCH($C448,'Master Inventory'!$A:$A,0)),""))</f>
        <v/>
      </c>
      <c r="F448" s="5" t="n"/>
      <c r="G448" s="5" t="n"/>
    </row>
    <row r="449">
      <c r="A449" s="5" t="n"/>
      <c r="B449" s="12" t="n"/>
      <c r="C449" s="5" t="n"/>
      <c r="D449" s="8">
        <f>IF($C449="","",IFERROR(INDEX('Master Inventory'!$B:$B,MATCH($C449,'Master Inventory'!$A:$A,0)),""))</f>
        <v/>
      </c>
      <c r="E449" s="8">
        <f>IF($C449="","",IFERROR(INDEX('Master Inventory'!$C:$C,MATCH($C449,'Master Inventory'!$A:$A,0)),""))</f>
        <v/>
      </c>
      <c r="F449" s="5" t="n"/>
      <c r="G449" s="5" t="n"/>
    </row>
    <row r="450">
      <c r="A450" s="5" t="n"/>
      <c r="B450" s="12" t="n"/>
      <c r="C450" s="5" t="n"/>
      <c r="D450" s="8">
        <f>IF($C450="","",IFERROR(INDEX('Master Inventory'!$B:$B,MATCH($C450,'Master Inventory'!$A:$A,0)),""))</f>
        <v/>
      </c>
      <c r="E450" s="8">
        <f>IF($C450="","",IFERROR(INDEX('Master Inventory'!$C:$C,MATCH($C450,'Master Inventory'!$A:$A,0)),""))</f>
        <v/>
      </c>
      <c r="F450" s="5" t="n"/>
      <c r="G450" s="5" t="n"/>
    </row>
    <row r="451">
      <c r="A451" s="5" t="n"/>
      <c r="B451" s="12" t="n"/>
      <c r="C451" s="5" t="n"/>
      <c r="D451" s="8">
        <f>IF($C451="","",IFERROR(INDEX('Master Inventory'!$B:$B,MATCH($C451,'Master Inventory'!$A:$A,0)),""))</f>
        <v/>
      </c>
      <c r="E451" s="8">
        <f>IF($C451="","",IFERROR(INDEX('Master Inventory'!$C:$C,MATCH($C451,'Master Inventory'!$A:$A,0)),""))</f>
        <v/>
      </c>
      <c r="F451" s="5" t="n"/>
      <c r="G451" s="5" t="n"/>
    </row>
    <row r="452">
      <c r="A452" s="5" t="n"/>
      <c r="B452" s="12" t="n"/>
      <c r="C452" s="5" t="n"/>
      <c r="D452" s="8">
        <f>IF($C452="","",IFERROR(INDEX('Master Inventory'!$B:$B,MATCH($C452,'Master Inventory'!$A:$A,0)),""))</f>
        <v/>
      </c>
      <c r="E452" s="8">
        <f>IF($C452="","",IFERROR(INDEX('Master Inventory'!$C:$C,MATCH($C452,'Master Inventory'!$A:$A,0)),""))</f>
        <v/>
      </c>
      <c r="F452" s="5" t="n"/>
      <c r="G452" s="5" t="n"/>
    </row>
    <row r="453">
      <c r="A453" s="5" t="n"/>
      <c r="B453" s="12" t="n"/>
      <c r="C453" s="5" t="n"/>
      <c r="D453" s="8">
        <f>IF($C453="","",IFERROR(INDEX('Master Inventory'!$B:$B,MATCH($C453,'Master Inventory'!$A:$A,0)),""))</f>
        <v/>
      </c>
      <c r="E453" s="8">
        <f>IF($C453="","",IFERROR(INDEX('Master Inventory'!$C:$C,MATCH($C453,'Master Inventory'!$A:$A,0)),""))</f>
        <v/>
      </c>
      <c r="F453" s="5" t="n"/>
      <c r="G453" s="5" t="n"/>
    </row>
    <row r="454">
      <c r="A454" s="5" t="n"/>
      <c r="B454" s="12" t="n"/>
      <c r="C454" s="5" t="n"/>
      <c r="D454" s="8">
        <f>IF($C454="","",IFERROR(INDEX('Master Inventory'!$B:$B,MATCH($C454,'Master Inventory'!$A:$A,0)),""))</f>
        <v/>
      </c>
      <c r="E454" s="8">
        <f>IF($C454="","",IFERROR(INDEX('Master Inventory'!$C:$C,MATCH($C454,'Master Inventory'!$A:$A,0)),""))</f>
        <v/>
      </c>
      <c r="F454" s="5" t="n"/>
      <c r="G454" s="5" t="n"/>
    </row>
    <row r="455">
      <c r="A455" s="5" t="n"/>
      <c r="B455" s="12" t="n"/>
      <c r="C455" s="5" t="n"/>
      <c r="D455" s="8">
        <f>IF($C455="","",IFERROR(INDEX('Master Inventory'!$B:$B,MATCH($C455,'Master Inventory'!$A:$A,0)),""))</f>
        <v/>
      </c>
      <c r="E455" s="8">
        <f>IF($C455="","",IFERROR(INDEX('Master Inventory'!$C:$C,MATCH($C455,'Master Inventory'!$A:$A,0)),""))</f>
        <v/>
      </c>
      <c r="F455" s="5" t="n"/>
      <c r="G455" s="5" t="n"/>
    </row>
    <row r="456">
      <c r="A456" s="5" t="n"/>
      <c r="B456" s="12" t="n"/>
      <c r="C456" s="5" t="n"/>
      <c r="D456" s="8">
        <f>IF($C456="","",IFERROR(INDEX('Master Inventory'!$B:$B,MATCH($C456,'Master Inventory'!$A:$A,0)),""))</f>
        <v/>
      </c>
      <c r="E456" s="8">
        <f>IF($C456="","",IFERROR(INDEX('Master Inventory'!$C:$C,MATCH($C456,'Master Inventory'!$A:$A,0)),""))</f>
        <v/>
      </c>
      <c r="F456" s="5" t="n"/>
      <c r="G456" s="5" t="n"/>
    </row>
    <row r="457">
      <c r="A457" s="5" t="n"/>
      <c r="B457" s="12" t="n"/>
      <c r="C457" s="5" t="n"/>
      <c r="D457" s="8">
        <f>IF($C457="","",IFERROR(INDEX('Master Inventory'!$B:$B,MATCH($C457,'Master Inventory'!$A:$A,0)),""))</f>
        <v/>
      </c>
      <c r="E457" s="8">
        <f>IF($C457="","",IFERROR(INDEX('Master Inventory'!$C:$C,MATCH($C457,'Master Inventory'!$A:$A,0)),""))</f>
        <v/>
      </c>
      <c r="F457" s="5" t="n"/>
      <c r="G457" s="5" t="n"/>
    </row>
    <row r="458">
      <c r="A458" s="5" t="n"/>
      <c r="B458" s="12" t="n"/>
      <c r="C458" s="5" t="n"/>
      <c r="D458" s="8">
        <f>IF($C458="","",IFERROR(INDEX('Master Inventory'!$B:$B,MATCH($C458,'Master Inventory'!$A:$A,0)),""))</f>
        <v/>
      </c>
      <c r="E458" s="8">
        <f>IF($C458="","",IFERROR(INDEX('Master Inventory'!$C:$C,MATCH($C458,'Master Inventory'!$A:$A,0)),""))</f>
        <v/>
      </c>
      <c r="F458" s="5" t="n"/>
      <c r="G458" s="5" t="n"/>
    </row>
    <row r="459">
      <c r="A459" s="5" t="n"/>
      <c r="B459" s="12" t="n"/>
      <c r="C459" s="5" t="n"/>
      <c r="D459" s="8">
        <f>IF($C459="","",IFERROR(INDEX('Master Inventory'!$B:$B,MATCH($C459,'Master Inventory'!$A:$A,0)),""))</f>
        <v/>
      </c>
      <c r="E459" s="8">
        <f>IF($C459="","",IFERROR(INDEX('Master Inventory'!$C:$C,MATCH($C459,'Master Inventory'!$A:$A,0)),""))</f>
        <v/>
      </c>
      <c r="F459" s="5" t="n"/>
      <c r="G459" s="5" t="n"/>
    </row>
    <row r="460">
      <c r="A460" s="5" t="n"/>
      <c r="B460" s="12" t="n"/>
      <c r="C460" s="5" t="n"/>
      <c r="D460" s="8">
        <f>IF($C460="","",IFERROR(INDEX('Master Inventory'!$B:$B,MATCH($C460,'Master Inventory'!$A:$A,0)),""))</f>
        <v/>
      </c>
      <c r="E460" s="8">
        <f>IF($C460="","",IFERROR(INDEX('Master Inventory'!$C:$C,MATCH($C460,'Master Inventory'!$A:$A,0)),""))</f>
        <v/>
      </c>
      <c r="F460" s="5" t="n"/>
      <c r="G460" s="5" t="n"/>
    </row>
    <row r="461">
      <c r="A461" s="5" t="n"/>
      <c r="B461" s="12" t="n"/>
      <c r="C461" s="5" t="n"/>
      <c r="D461" s="8">
        <f>IF($C461="","",IFERROR(INDEX('Master Inventory'!$B:$B,MATCH($C461,'Master Inventory'!$A:$A,0)),""))</f>
        <v/>
      </c>
      <c r="E461" s="8">
        <f>IF($C461="","",IFERROR(INDEX('Master Inventory'!$C:$C,MATCH($C461,'Master Inventory'!$A:$A,0)),""))</f>
        <v/>
      </c>
      <c r="F461" s="5" t="n"/>
      <c r="G461" s="5" t="n"/>
    </row>
    <row r="462">
      <c r="A462" s="5" t="n"/>
      <c r="B462" s="12" t="n"/>
      <c r="C462" s="5" t="n"/>
      <c r="D462" s="8">
        <f>IF($C462="","",IFERROR(INDEX('Master Inventory'!$B:$B,MATCH($C462,'Master Inventory'!$A:$A,0)),""))</f>
        <v/>
      </c>
      <c r="E462" s="8">
        <f>IF($C462="","",IFERROR(INDEX('Master Inventory'!$C:$C,MATCH($C462,'Master Inventory'!$A:$A,0)),""))</f>
        <v/>
      </c>
      <c r="F462" s="5" t="n"/>
      <c r="G462" s="5" t="n"/>
    </row>
    <row r="463">
      <c r="A463" s="5" t="n"/>
      <c r="B463" s="12" t="n"/>
      <c r="C463" s="5" t="n"/>
      <c r="D463" s="8">
        <f>IF($C463="","",IFERROR(INDEX('Master Inventory'!$B:$B,MATCH($C463,'Master Inventory'!$A:$A,0)),""))</f>
        <v/>
      </c>
      <c r="E463" s="8">
        <f>IF($C463="","",IFERROR(INDEX('Master Inventory'!$C:$C,MATCH($C463,'Master Inventory'!$A:$A,0)),""))</f>
        <v/>
      </c>
      <c r="F463" s="5" t="n"/>
      <c r="G463" s="5" t="n"/>
    </row>
    <row r="464">
      <c r="A464" s="5" t="n"/>
      <c r="B464" s="12" t="n"/>
      <c r="C464" s="5" t="n"/>
      <c r="D464" s="8">
        <f>IF($C464="","",IFERROR(INDEX('Master Inventory'!$B:$B,MATCH($C464,'Master Inventory'!$A:$A,0)),""))</f>
        <v/>
      </c>
      <c r="E464" s="8">
        <f>IF($C464="","",IFERROR(INDEX('Master Inventory'!$C:$C,MATCH($C464,'Master Inventory'!$A:$A,0)),""))</f>
        <v/>
      </c>
      <c r="F464" s="5" t="n"/>
      <c r="G464" s="5" t="n"/>
    </row>
    <row r="465">
      <c r="A465" s="5" t="n"/>
      <c r="B465" s="12" t="n"/>
      <c r="C465" s="5" t="n"/>
      <c r="D465" s="8">
        <f>IF($C465="","",IFERROR(INDEX('Master Inventory'!$B:$B,MATCH($C465,'Master Inventory'!$A:$A,0)),""))</f>
        <v/>
      </c>
      <c r="E465" s="8">
        <f>IF($C465="","",IFERROR(INDEX('Master Inventory'!$C:$C,MATCH($C465,'Master Inventory'!$A:$A,0)),""))</f>
        <v/>
      </c>
      <c r="F465" s="5" t="n"/>
      <c r="G465" s="5" t="n"/>
    </row>
    <row r="466">
      <c r="A466" s="5" t="n"/>
      <c r="B466" s="12" t="n"/>
      <c r="C466" s="5" t="n"/>
      <c r="D466" s="8">
        <f>IF($C466="","",IFERROR(INDEX('Master Inventory'!$B:$B,MATCH($C466,'Master Inventory'!$A:$A,0)),""))</f>
        <v/>
      </c>
      <c r="E466" s="8">
        <f>IF($C466="","",IFERROR(INDEX('Master Inventory'!$C:$C,MATCH($C466,'Master Inventory'!$A:$A,0)),""))</f>
        <v/>
      </c>
      <c r="F466" s="5" t="n"/>
      <c r="G466" s="5" t="n"/>
    </row>
    <row r="467">
      <c r="A467" s="5" t="n"/>
      <c r="B467" s="12" t="n"/>
      <c r="C467" s="5" t="n"/>
      <c r="D467" s="8">
        <f>IF($C467="","",IFERROR(INDEX('Master Inventory'!$B:$B,MATCH($C467,'Master Inventory'!$A:$A,0)),""))</f>
        <v/>
      </c>
      <c r="E467" s="8">
        <f>IF($C467="","",IFERROR(INDEX('Master Inventory'!$C:$C,MATCH($C467,'Master Inventory'!$A:$A,0)),""))</f>
        <v/>
      </c>
      <c r="F467" s="5" t="n"/>
      <c r="G467" s="5" t="n"/>
    </row>
    <row r="468">
      <c r="A468" s="5" t="n"/>
      <c r="B468" s="12" t="n"/>
      <c r="C468" s="5" t="n"/>
      <c r="D468" s="8">
        <f>IF($C468="","",IFERROR(INDEX('Master Inventory'!$B:$B,MATCH($C468,'Master Inventory'!$A:$A,0)),""))</f>
        <v/>
      </c>
      <c r="E468" s="8">
        <f>IF($C468="","",IFERROR(INDEX('Master Inventory'!$C:$C,MATCH($C468,'Master Inventory'!$A:$A,0)),""))</f>
        <v/>
      </c>
      <c r="F468" s="5" t="n"/>
      <c r="G468" s="5" t="n"/>
    </row>
    <row r="469">
      <c r="A469" s="5" t="n"/>
      <c r="B469" s="12" t="n"/>
      <c r="C469" s="5" t="n"/>
      <c r="D469" s="8">
        <f>IF($C469="","",IFERROR(INDEX('Master Inventory'!$B:$B,MATCH($C469,'Master Inventory'!$A:$A,0)),""))</f>
        <v/>
      </c>
      <c r="E469" s="8">
        <f>IF($C469="","",IFERROR(INDEX('Master Inventory'!$C:$C,MATCH($C469,'Master Inventory'!$A:$A,0)),""))</f>
        <v/>
      </c>
      <c r="F469" s="5" t="n"/>
      <c r="G469" s="5" t="n"/>
    </row>
    <row r="470">
      <c r="A470" s="5" t="n"/>
      <c r="B470" s="12" t="n"/>
      <c r="C470" s="5" t="n"/>
      <c r="D470" s="8">
        <f>IF($C470="","",IFERROR(INDEX('Master Inventory'!$B:$B,MATCH($C470,'Master Inventory'!$A:$A,0)),""))</f>
        <v/>
      </c>
      <c r="E470" s="8">
        <f>IF($C470="","",IFERROR(INDEX('Master Inventory'!$C:$C,MATCH($C470,'Master Inventory'!$A:$A,0)),""))</f>
        <v/>
      </c>
      <c r="F470" s="5" t="n"/>
      <c r="G470" s="5" t="n"/>
    </row>
    <row r="471">
      <c r="A471" s="5" t="n"/>
      <c r="B471" s="12" t="n"/>
      <c r="C471" s="5" t="n"/>
      <c r="D471" s="8">
        <f>IF($C471="","",IFERROR(INDEX('Master Inventory'!$B:$B,MATCH($C471,'Master Inventory'!$A:$A,0)),""))</f>
        <v/>
      </c>
      <c r="E471" s="8">
        <f>IF($C471="","",IFERROR(INDEX('Master Inventory'!$C:$C,MATCH($C471,'Master Inventory'!$A:$A,0)),""))</f>
        <v/>
      </c>
      <c r="F471" s="5" t="n"/>
      <c r="G471" s="5" t="n"/>
    </row>
    <row r="472">
      <c r="A472" s="5" t="n"/>
      <c r="B472" s="12" t="n"/>
      <c r="C472" s="5" t="n"/>
      <c r="D472" s="8">
        <f>IF($C472="","",IFERROR(INDEX('Master Inventory'!$B:$B,MATCH($C472,'Master Inventory'!$A:$A,0)),""))</f>
        <v/>
      </c>
      <c r="E472" s="8">
        <f>IF($C472="","",IFERROR(INDEX('Master Inventory'!$C:$C,MATCH($C472,'Master Inventory'!$A:$A,0)),""))</f>
        <v/>
      </c>
      <c r="F472" s="5" t="n"/>
      <c r="G472" s="5" t="n"/>
    </row>
    <row r="473">
      <c r="A473" s="5" t="n"/>
      <c r="B473" s="12" t="n"/>
      <c r="C473" s="5" t="n"/>
      <c r="D473" s="8">
        <f>IF($C473="","",IFERROR(INDEX('Master Inventory'!$B:$B,MATCH($C473,'Master Inventory'!$A:$A,0)),""))</f>
        <v/>
      </c>
      <c r="E473" s="8">
        <f>IF($C473="","",IFERROR(INDEX('Master Inventory'!$C:$C,MATCH($C473,'Master Inventory'!$A:$A,0)),""))</f>
        <v/>
      </c>
      <c r="F473" s="5" t="n"/>
      <c r="G473" s="5" t="n"/>
    </row>
    <row r="474">
      <c r="A474" s="5" t="n"/>
      <c r="B474" s="12" t="n"/>
      <c r="C474" s="5" t="n"/>
      <c r="D474" s="8">
        <f>IF($C474="","",IFERROR(INDEX('Master Inventory'!$B:$B,MATCH($C474,'Master Inventory'!$A:$A,0)),""))</f>
        <v/>
      </c>
      <c r="E474" s="8">
        <f>IF($C474="","",IFERROR(INDEX('Master Inventory'!$C:$C,MATCH($C474,'Master Inventory'!$A:$A,0)),""))</f>
        <v/>
      </c>
      <c r="F474" s="5" t="n"/>
      <c r="G474" s="5" t="n"/>
    </row>
    <row r="475">
      <c r="A475" s="5" t="n"/>
      <c r="B475" s="12" t="n"/>
      <c r="C475" s="5" t="n"/>
      <c r="D475" s="8">
        <f>IF($C475="","",IFERROR(INDEX('Master Inventory'!$B:$B,MATCH($C475,'Master Inventory'!$A:$A,0)),""))</f>
        <v/>
      </c>
      <c r="E475" s="8">
        <f>IF($C475="","",IFERROR(INDEX('Master Inventory'!$C:$C,MATCH($C475,'Master Inventory'!$A:$A,0)),""))</f>
        <v/>
      </c>
      <c r="F475" s="5" t="n"/>
      <c r="G475" s="5" t="n"/>
    </row>
    <row r="476">
      <c r="A476" s="5" t="n"/>
      <c r="B476" s="12" t="n"/>
      <c r="C476" s="5" t="n"/>
      <c r="D476" s="8">
        <f>IF($C476="","",IFERROR(INDEX('Master Inventory'!$B:$B,MATCH($C476,'Master Inventory'!$A:$A,0)),""))</f>
        <v/>
      </c>
      <c r="E476" s="8">
        <f>IF($C476="","",IFERROR(INDEX('Master Inventory'!$C:$C,MATCH($C476,'Master Inventory'!$A:$A,0)),""))</f>
        <v/>
      </c>
      <c r="F476" s="5" t="n"/>
      <c r="G476" s="5" t="n"/>
    </row>
    <row r="477">
      <c r="A477" s="5" t="n"/>
      <c r="B477" s="12" t="n"/>
      <c r="C477" s="5" t="n"/>
      <c r="D477" s="8">
        <f>IF($C477="","",IFERROR(INDEX('Master Inventory'!$B:$B,MATCH($C477,'Master Inventory'!$A:$A,0)),""))</f>
        <v/>
      </c>
      <c r="E477" s="8">
        <f>IF($C477="","",IFERROR(INDEX('Master Inventory'!$C:$C,MATCH($C477,'Master Inventory'!$A:$A,0)),""))</f>
        <v/>
      </c>
      <c r="F477" s="5" t="n"/>
      <c r="G477" s="5" t="n"/>
    </row>
    <row r="478">
      <c r="A478" s="5" t="n"/>
      <c r="B478" s="12" t="n"/>
      <c r="C478" s="5" t="n"/>
      <c r="D478" s="8">
        <f>IF($C478="","",IFERROR(INDEX('Master Inventory'!$B:$B,MATCH($C478,'Master Inventory'!$A:$A,0)),""))</f>
        <v/>
      </c>
      <c r="E478" s="8">
        <f>IF($C478="","",IFERROR(INDEX('Master Inventory'!$C:$C,MATCH($C478,'Master Inventory'!$A:$A,0)),""))</f>
        <v/>
      </c>
      <c r="F478" s="5" t="n"/>
      <c r="G478" s="5" t="n"/>
    </row>
    <row r="479">
      <c r="A479" s="5" t="n"/>
      <c r="B479" s="12" t="n"/>
      <c r="C479" s="5" t="n"/>
      <c r="D479" s="8">
        <f>IF($C479="","",IFERROR(INDEX('Master Inventory'!$B:$B,MATCH($C479,'Master Inventory'!$A:$A,0)),""))</f>
        <v/>
      </c>
      <c r="E479" s="8">
        <f>IF($C479="","",IFERROR(INDEX('Master Inventory'!$C:$C,MATCH($C479,'Master Inventory'!$A:$A,0)),""))</f>
        <v/>
      </c>
      <c r="F479" s="5" t="n"/>
      <c r="G479" s="5" t="n"/>
    </row>
    <row r="480">
      <c r="A480" s="5" t="n"/>
      <c r="B480" s="12" t="n"/>
      <c r="C480" s="5" t="n"/>
      <c r="D480" s="8">
        <f>IF($C480="","",IFERROR(INDEX('Master Inventory'!$B:$B,MATCH($C480,'Master Inventory'!$A:$A,0)),""))</f>
        <v/>
      </c>
      <c r="E480" s="8">
        <f>IF($C480="","",IFERROR(INDEX('Master Inventory'!$C:$C,MATCH($C480,'Master Inventory'!$A:$A,0)),""))</f>
        <v/>
      </c>
      <c r="F480" s="5" t="n"/>
      <c r="G480" s="5" t="n"/>
    </row>
    <row r="481">
      <c r="A481" s="5" t="n"/>
      <c r="B481" s="12" t="n"/>
      <c r="C481" s="5" t="n"/>
      <c r="D481" s="8">
        <f>IF($C481="","",IFERROR(INDEX('Master Inventory'!$B:$B,MATCH($C481,'Master Inventory'!$A:$A,0)),""))</f>
        <v/>
      </c>
      <c r="E481" s="8">
        <f>IF($C481="","",IFERROR(INDEX('Master Inventory'!$C:$C,MATCH($C481,'Master Inventory'!$A:$A,0)),""))</f>
        <v/>
      </c>
      <c r="F481" s="5" t="n"/>
      <c r="G481" s="5" t="n"/>
    </row>
    <row r="482">
      <c r="A482" s="5" t="n"/>
      <c r="B482" s="12" t="n"/>
      <c r="C482" s="5" t="n"/>
      <c r="D482" s="8">
        <f>IF($C482="","",IFERROR(INDEX('Master Inventory'!$B:$B,MATCH($C482,'Master Inventory'!$A:$A,0)),""))</f>
        <v/>
      </c>
      <c r="E482" s="8">
        <f>IF($C482="","",IFERROR(INDEX('Master Inventory'!$C:$C,MATCH($C482,'Master Inventory'!$A:$A,0)),""))</f>
        <v/>
      </c>
      <c r="F482" s="5" t="n"/>
      <c r="G482" s="5" t="n"/>
    </row>
    <row r="483">
      <c r="A483" s="5" t="n"/>
      <c r="B483" s="12" t="n"/>
      <c r="C483" s="5" t="n"/>
      <c r="D483" s="8">
        <f>IF($C483="","",IFERROR(INDEX('Master Inventory'!$B:$B,MATCH($C483,'Master Inventory'!$A:$A,0)),""))</f>
        <v/>
      </c>
      <c r="E483" s="8">
        <f>IF($C483="","",IFERROR(INDEX('Master Inventory'!$C:$C,MATCH($C483,'Master Inventory'!$A:$A,0)),""))</f>
        <v/>
      </c>
      <c r="F483" s="5" t="n"/>
      <c r="G483" s="5" t="n"/>
    </row>
    <row r="484">
      <c r="A484" s="5" t="n"/>
      <c r="B484" s="12" t="n"/>
      <c r="C484" s="5" t="n"/>
      <c r="D484" s="8">
        <f>IF($C484="","",IFERROR(INDEX('Master Inventory'!$B:$B,MATCH($C484,'Master Inventory'!$A:$A,0)),""))</f>
        <v/>
      </c>
      <c r="E484" s="8">
        <f>IF($C484="","",IFERROR(INDEX('Master Inventory'!$C:$C,MATCH($C484,'Master Inventory'!$A:$A,0)),""))</f>
        <v/>
      </c>
      <c r="F484" s="5" t="n"/>
      <c r="G484" s="5" t="n"/>
    </row>
    <row r="485">
      <c r="A485" s="5" t="n"/>
      <c r="B485" s="12" t="n"/>
      <c r="C485" s="5" t="n"/>
      <c r="D485" s="8">
        <f>IF($C485="","",IFERROR(INDEX('Master Inventory'!$B:$B,MATCH($C485,'Master Inventory'!$A:$A,0)),""))</f>
        <v/>
      </c>
      <c r="E485" s="8">
        <f>IF($C485="","",IFERROR(INDEX('Master Inventory'!$C:$C,MATCH($C485,'Master Inventory'!$A:$A,0)),""))</f>
        <v/>
      </c>
      <c r="F485" s="5" t="n"/>
      <c r="G485" s="5" t="n"/>
    </row>
    <row r="486">
      <c r="A486" s="5" t="n"/>
      <c r="B486" s="12" t="n"/>
      <c r="C486" s="5" t="n"/>
      <c r="D486" s="8">
        <f>IF($C486="","",IFERROR(INDEX('Master Inventory'!$B:$B,MATCH($C486,'Master Inventory'!$A:$A,0)),""))</f>
        <v/>
      </c>
      <c r="E486" s="8">
        <f>IF($C486="","",IFERROR(INDEX('Master Inventory'!$C:$C,MATCH($C486,'Master Inventory'!$A:$A,0)),""))</f>
        <v/>
      </c>
      <c r="F486" s="5" t="n"/>
      <c r="G486" s="5" t="n"/>
    </row>
    <row r="487">
      <c r="A487" s="5" t="n"/>
      <c r="B487" s="12" t="n"/>
      <c r="C487" s="5" t="n"/>
      <c r="D487" s="8">
        <f>IF($C487="","",IFERROR(INDEX('Master Inventory'!$B:$B,MATCH($C487,'Master Inventory'!$A:$A,0)),""))</f>
        <v/>
      </c>
      <c r="E487" s="8">
        <f>IF($C487="","",IFERROR(INDEX('Master Inventory'!$C:$C,MATCH($C487,'Master Inventory'!$A:$A,0)),""))</f>
        <v/>
      </c>
      <c r="F487" s="5" t="n"/>
      <c r="G487" s="5" t="n"/>
    </row>
    <row r="488">
      <c r="A488" s="5" t="n"/>
      <c r="B488" s="12" t="n"/>
      <c r="C488" s="5" t="n"/>
      <c r="D488" s="8">
        <f>IF($C488="","",IFERROR(INDEX('Master Inventory'!$B:$B,MATCH($C488,'Master Inventory'!$A:$A,0)),""))</f>
        <v/>
      </c>
      <c r="E488" s="8">
        <f>IF($C488="","",IFERROR(INDEX('Master Inventory'!$C:$C,MATCH($C488,'Master Inventory'!$A:$A,0)),""))</f>
        <v/>
      </c>
      <c r="F488" s="5" t="n"/>
      <c r="G488" s="5" t="n"/>
    </row>
    <row r="489">
      <c r="A489" s="5" t="n"/>
      <c r="B489" s="12" t="n"/>
      <c r="C489" s="5" t="n"/>
      <c r="D489" s="8">
        <f>IF($C489="","",IFERROR(INDEX('Master Inventory'!$B:$B,MATCH($C489,'Master Inventory'!$A:$A,0)),""))</f>
        <v/>
      </c>
      <c r="E489" s="8">
        <f>IF($C489="","",IFERROR(INDEX('Master Inventory'!$C:$C,MATCH($C489,'Master Inventory'!$A:$A,0)),""))</f>
        <v/>
      </c>
      <c r="F489" s="5" t="n"/>
      <c r="G489" s="5" t="n"/>
    </row>
    <row r="490">
      <c r="A490" s="5" t="n"/>
      <c r="B490" s="12" t="n"/>
      <c r="C490" s="5" t="n"/>
      <c r="D490" s="8">
        <f>IF($C490="","",IFERROR(INDEX('Master Inventory'!$B:$B,MATCH($C490,'Master Inventory'!$A:$A,0)),""))</f>
        <v/>
      </c>
      <c r="E490" s="8">
        <f>IF($C490="","",IFERROR(INDEX('Master Inventory'!$C:$C,MATCH($C490,'Master Inventory'!$A:$A,0)),""))</f>
        <v/>
      </c>
      <c r="F490" s="5" t="n"/>
      <c r="G490" s="5" t="n"/>
    </row>
    <row r="491">
      <c r="A491" s="5" t="n"/>
      <c r="B491" s="12" t="n"/>
      <c r="C491" s="5" t="n"/>
      <c r="D491" s="8">
        <f>IF($C491="","",IFERROR(INDEX('Master Inventory'!$B:$B,MATCH($C491,'Master Inventory'!$A:$A,0)),""))</f>
        <v/>
      </c>
      <c r="E491" s="8">
        <f>IF($C491="","",IFERROR(INDEX('Master Inventory'!$C:$C,MATCH($C491,'Master Inventory'!$A:$A,0)),""))</f>
        <v/>
      </c>
      <c r="F491" s="5" t="n"/>
      <c r="G491" s="5" t="n"/>
    </row>
    <row r="492">
      <c r="A492" s="5" t="n"/>
      <c r="B492" s="12" t="n"/>
      <c r="C492" s="5" t="n"/>
      <c r="D492" s="8">
        <f>IF($C492="","",IFERROR(INDEX('Master Inventory'!$B:$B,MATCH($C492,'Master Inventory'!$A:$A,0)),""))</f>
        <v/>
      </c>
      <c r="E492" s="8">
        <f>IF($C492="","",IFERROR(INDEX('Master Inventory'!$C:$C,MATCH($C492,'Master Inventory'!$A:$A,0)),""))</f>
        <v/>
      </c>
      <c r="F492" s="5" t="n"/>
      <c r="G492" s="5" t="n"/>
    </row>
    <row r="493">
      <c r="A493" s="5" t="n"/>
      <c r="B493" s="12" t="n"/>
      <c r="C493" s="5" t="n"/>
      <c r="D493" s="8">
        <f>IF($C493="","",IFERROR(INDEX('Master Inventory'!$B:$B,MATCH($C493,'Master Inventory'!$A:$A,0)),""))</f>
        <v/>
      </c>
      <c r="E493" s="8">
        <f>IF($C493="","",IFERROR(INDEX('Master Inventory'!$C:$C,MATCH($C493,'Master Inventory'!$A:$A,0)),""))</f>
        <v/>
      </c>
      <c r="F493" s="5" t="n"/>
      <c r="G493" s="5" t="n"/>
    </row>
    <row r="494">
      <c r="A494" s="5" t="n"/>
      <c r="B494" s="12" t="n"/>
      <c r="C494" s="5" t="n"/>
      <c r="D494" s="8">
        <f>IF($C494="","",IFERROR(INDEX('Master Inventory'!$B:$B,MATCH($C494,'Master Inventory'!$A:$A,0)),""))</f>
        <v/>
      </c>
      <c r="E494" s="8">
        <f>IF($C494="","",IFERROR(INDEX('Master Inventory'!$C:$C,MATCH($C494,'Master Inventory'!$A:$A,0)),""))</f>
        <v/>
      </c>
      <c r="F494" s="5" t="n"/>
      <c r="G494" s="5" t="n"/>
    </row>
    <row r="495">
      <c r="A495" s="5" t="n"/>
      <c r="B495" s="12" t="n"/>
      <c r="C495" s="5" t="n"/>
      <c r="D495" s="8">
        <f>IF($C495="","",IFERROR(INDEX('Master Inventory'!$B:$B,MATCH($C495,'Master Inventory'!$A:$A,0)),""))</f>
        <v/>
      </c>
      <c r="E495" s="8">
        <f>IF($C495="","",IFERROR(INDEX('Master Inventory'!$C:$C,MATCH($C495,'Master Inventory'!$A:$A,0)),""))</f>
        <v/>
      </c>
      <c r="F495" s="5" t="n"/>
      <c r="G495" s="5" t="n"/>
    </row>
    <row r="496">
      <c r="A496" s="5" t="n"/>
      <c r="B496" s="12" t="n"/>
      <c r="C496" s="5" t="n"/>
      <c r="D496" s="8">
        <f>IF($C496="","",IFERROR(INDEX('Master Inventory'!$B:$B,MATCH($C496,'Master Inventory'!$A:$A,0)),""))</f>
        <v/>
      </c>
      <c r="E496" s="8">
        <f>IF($C496="","",IFERROR(INDEX('Master Inventory'!$C:$C,MATCH($C496,'Master Inventory'!$A:$A,0)),""))</f>
        <v/>
      </c>
      <c r="F496" s="5" t="n"/>
      <c r="G496" s="5" t="n"/>
    </row>
    <row r="497">
      <c r="A497" s="5" t="n"/>
      <c r="B497" s="12" t="n"/>
      <c r="C497" s="5" t="n"/>
      <c r="D497" s="8">
        <f>IF($C497="","",IFERROR(INDEX('Master Inventory'!$B:$B,MATCH($C497,'Master Inventory'!$A:$A,0)),""))</f>
        <v/>
      </c>
      <c r="E497" s="8">
        <f>IF($C497="","",IFERROR(INDEX('Master Inventory'!$C:$C,MATCH($C497,'Master Inventory'!$A:$A,0)),""))</f>
        <v/>
      </c>
      <c r="F497" s="5" t="n"/>
      <c r="G497" s="5" t="n"/>
    </row>
    <row r="498">
      <c r="A498" s="5" t="n"/>
      <c r="B498" s="12" t="n"/>
      <c r="C498" s="5" t="n"/>
      <c r="D498" s="8">
        <f>IF($C498="","",IFERROR(INDEX('Master Inventory'!$B:$B,MATCH($C498,'Master Inventory'!$A:$A,0)),""))</f>
        <v/>
      </c>
      <c r="E498" s="8">
        <f>IF($C498="","",IFERROR(INDEX('Master Inventory'!$C:$C,MATCH($C498,'Master Inventory'!$A:$A,0)),""))</f>
        <v/>
      </c>
      <c r="F498" s="5" t="n"/>
      <c r="G498" s="5" t="n"/>
    </row>
    <row r="499">
      <c r="A499" s="5" t="n"/>
      <c r="B499" s="12" t="n"/>
      <c r="C499" s="5" t="n"/>
      <c r="D499" s="8">
        <f>IF($C499="","",IFERROR(INDEX('Master Inventory'!$B:$B,MATCH($C499,'Master Inventory'!$A:$A,0)),""))</f>
        <v/>
      </c>
      <c r="E499" s="8">
        <f>IF($C499="","",IFERROR(INDEX('Master Inventory'!$C:$C,MATCH($C499,'Master Inventory'!$A:$A,0)),""))</f>
        <v/>
      </c>
      <c r="F499" s="5" t="n"/>
      <c r="G499" s="5" t="n"/>
    </row>
    <row r="500">
      <c r="A500" s="5" t="n"/>
      <c r="B500" s="12" t="n"/>
      <c r="C500" s="5" t="n"/>
      <c r="D500" s="8">
        <f>IF($C500="","",IFERROR(INDEX('Master Inventory'!$B:$B,MATCH($C500,'Master Inventory'!$A:$A,0)),""))</f>
        <v/>
      </c>
      <c r="E500" s="8">
        <f>IF($C500="","",IFERROR(INDEX('Master Inventory'!$C:$C,MATCH($C500,'Master Inventory'!$A:$A,0)),""))</f>
        <v/>
      </c>
      <c r="F500" s="5" t="n"/>
      <c r="G500" s="5" t="n"/>
    </row>
    <row r="501">
      <c r="A501" s="5" t="n"/>
      <c r="B501" s="12" t="n"/>
      <c r="C501" s="5" t="n"/>
      <c r="D501" s="8">
        <f>IF($C501="","",IFERROR(INDEX('Master Inventory'!$B:$B,MATCH($C501,'Master Inventory'!$A:$A,0)),""))</f>
        <v/>
      </c>
      <c r="E501" s="8">
        <f>IF($C501="","",IFERROR(INDEX('Master Inventory'!$C:$C,MATCH($C501,'Master Inventory'!$A:$A,0)),""))</f>
        <v/>
      </c>
      <c r="F501" s="5" t="n"/>
      <c r="G501" s="5" t="n"/>
    </row>
    <row r="502">
      <c r="A502" s="5" t="n"/>
      <c r="B502" s="12" t="n"/>
      <c r="C502" s="5" t="n"/>
      <c r="D502" s="8">
        <f>IF($C502="","",IFERROR(INDEX('Master Inventory'!$B:$B,MATCH($C502,'Master Inventory'!$A:$A,0)),""))</f>
        <v/>
      </c>
      <c r="E502" s="8">
        <f>IF($C502="","",IFERROR(INDEX('Master Inventory'!$C:$C,MATCH($C502,'Master Inventory'!$A:$A,0)),""))</f>
        <v/>
      </c>
      <c r="F502" s="5" t="n"/>
      <c r="G502" s="5" t="n"/>
    </row>
    <row r="503">
      <c r="A503" s="5" t="n"/>
      <c r="B503" s="12" t="n"/>
      <c r="C503" s="5" t="n"/>
      <c r="D503" s="8">
        <f>IF($C503="","",IFERROR(INDEX('Master Inventory'!$B:$B,MATCH($C503,'Master Inventory'!$A:$A,0)),""))</f>
        <v/>
      </c>
      <c r="E503" s="8">
        <f>IF($C503="","",IFERROR(INDEX('Master Inventory'!$C:$C,MATCH($C503,'Master Inventory'!$A:$A,0)),""))</f>
        <v/>
      </c>
      <c r="F503" s="5" t="n"/>
      <c r="G503" s="5" t="n"/>
    </row>
    <row r="504">
      <c r="A504" s="5" t="n"/>
      <c r="B504" s="12" t="n"/>
      <c r="C504" s="5" t="n"/>
      <c r="D504" s="8">
        <f>IF($C504="","",IFERROR(INDEX('Master Inventory'!$B:$B,MATCH($C504,'Master Inventory'!$A:$A,0)),""))</f>
        <v/>
      </c>
      <c r="E504" s="8">
        <f>IF($C504="","",IFERROR(INDEX('Master Inventory'!$C:$C,MATCH($C504,'Master Inventory'!$A:$A,0)),""))</f>
        <v/>
      </c>
      <c r="F504" s="5" t="n"/>
      <c r="G504" s="5" t="n"/>
    </row>
    <row r="505">
      <c r="A505" s="5" t="n"/>
      <c r="B505" s="12" t="n"/>
      <c r="C505" s="5" t="n"/>
      <c r="D505" s="8">
        <f>IF($C505="","",IFERROR(INDEX('Master Inventory'!$B:$B,MATCH($C505,'Master Inventory'!$A:$A,0)),""))</f>
        <v/>
      </c>
      <c r="E505" s="8">
        <f>IF($C505="","",IFERROR(INDEX('Master Inventory'!$C:$C,MATCH($C505,'Master Inventory'!$A:$A,0)),""))</f>
        <v/>
      </c>
      <c r="F505" s="5" t="n"/>
      <c r="G505" s="5" t="n"/>
    </row>
    <row r="506">
      <c r="A506" s="5" t="n"/>
      <c r="B506" s="12" t="n"/>
      <c r="C506" s="5" t="n"/>
      <c r="D506" s="8">
        <f>IF($C506="","",IFERROR(INDEX('Master Inventory'!$B:$B,MATCH($C506,'Master Inventory'!$A:$A,0)),""))</f>
        <v/>
      </c>
      <c r="E506" s="8">
        <f>IF($C506="","",IFERROR(INDEX('Master Inventory'!$C:$C,MATCH($C506,'Master Inventory'!$A:$A,0)),""))</f>
        <v/>
      </c>
      <c r="F506" s="5" t="n"/>
      <c r="G506" s="5" t="n"/>
    </row>
    <row r="507">
      <c r="A507" s="5" t="n"/>
      <c r="B507" s="12" t="n"/>
      <c r="C507" s="5" t="n"/>
      <c r="D507" s="8">
        <f>IF($C507="","",IFERROR(INDEX('Master Inventory'!$B:$B,MATCH($C507,'Master Inventory'!$A:$A,0)),""))</f>
        <v/>
      </c>
      <c r="E507" s="8">
        <f>IF($C507="","",IFERROR(INDEX('Master Inventory'!$C:$C,MATCH($C507,'Master Inventory'!$A:$A,0)),""))</f>
        <v/>
      </c>
      <c r="F507" s="5" t="n"/>
      <c r="G507" s="5" t="n"/>
    </row>
    <row r="508">
      <c r="A508" s="5" t="n"/>
      <c r="B508" s="12" t="n"/>
      <c r="C508" s="5" t="n"/>
      <c r="D508" s="8">
        <f>IF($C508="","",IFERROR(INDEX('Master Inventory'!$B:$B,MATCH($C508,'Master Inventory'!$A:$A,0)),""))</f>
        <v/>
      </c>
      <c r="E508" s="8">
        <f>IF($C508="","",IFERROR(INDEX('Master Inventory'!$C:$C,MATCH($C508,'Master Inventory'!$A:$A,0)),""))</f>
        <v/>
      </c>
      <c r="F508" s="5" t="n"/>
      <c r="G508" s="5" t="n"/>
    </row>
    <row r="509">
      <c r="A509" s="5" t="n"/>
      <c r="B509" s="12" t="n"/>
      <c r="C509" s="5" t="n"/>
      <c r="D509" s="8">
        <f>IF($C509="","",IFERROR(INDEX('Master Inventory'!$B:$B,MATCH($C509,'Master Inventory'!$A:$A,0)),""))</f>
        <v/>
      </c>
      <c r="E509" s="8">
        <f>IF($C509="","",IFERROR(INDEX('Master Inventory'!$C:$C,MATCH($C509,'Master Inventory'!$A:$A,0)),""))</f>
        <v/>
      </c>
      <c r="F509" s="5" t="n"/>
      <c r="G509" s="5" t="n"/>
    </row>
    <row r="510">
      <c r="A510" s="5" t="n"/>
      <c r="B510" s="12" t="n"/>
      <c r="C510" s="5" t="n"/>
      <c r="D510" s="8">
        <f>IF($C510="","",IFERROR(INDEX('Master Inventory'!$B:$B,MATCH($C510,'Master Inventory'!$A:$A,0)),""))</f>
        <v/>
      </c>
      <c r="E510" s="8">
        <f>IF($C510="","",IFERROR(INDEX('Master Inventory'!$C:$C,MATCH($C510,'Master Inventory'!$A:$A,0)),""))</f>
        <v/>
      </c>
      <c r="F510" s="5" t="n"/>
      <c r="G510" s="5" t="n"/>
    </row>
    <row r="511">
      <c r="A511" s="5" t="n"/>
      <c r="B511" s="12" t="n"/>
      <c r="C511" s="5" t="n"/>
      <c r="D511" s="8">
        <f>IF($C511="","",IFERROR(INDEX('Master Inventory'!$B:$B,MATCH($C511,'Master Inventory'!$A:$A,0)),""))</f>
        <v/>
      </c>
      <c r="E511" s="8">
        <f>IF($C511="","",IFERROR(INDEX('Master Inventory'!$C:$C,MATCH($C511,'Master Inventory'!$A:$A,0)),""))</f>
        <v/>
      </c>
      <c r="F511" s="5" t="n"/>
      <c r="G511" s="5" t="n"/>
    </row>
    <row r="512">
      <c r="A512" s="5" t="n"/>
      <c r="B512" s="12" t="n"/>
      <c r="C512" s="5" t="n"/>
      <c r="D512" s="8">
        <f>IF($C512="","",IFERROR(INDEX('Master Inventory'!$B:$B,MATCH($C512,'Master Inventory'!$A:$A,0)),""))</f>
        <v/>
      </c>
      <c r="E512" s="8">
        <f>IF($C512="","",IFERROR(INDEX('Master Inventory'!$C:$C,MATCH($C512,'Master Inventory'!$A:$A,0)),""))</f>
        <v/>
      </c>
      <c r="F512" s="5" t="n"/>
      <c r="G512" s="5" t="n"/>
    </row>
    <row r="513">
      <c r="A513" s="5" t="n"/>
      <c r="B513" s="12" t="n"/>
      <c r="C513" s="5" t="n"/>
      <c r="D513" s="8">
        <f>IF($C513="","",IFERROR(INDEX('Master Inventory'!$B:$B,MATCH($C513,'Master Inventory'!$A:$A,0)),""))</f>
        <v/>
      </c>
      <c r="E513" s="8">
        <f>IF($C513="","",IFERROR(INDEX('Master Inventory'!$C:$C,MATCH($C513,'Master Inventory'!$A:$A,0)),""))</f>
        <v/>
      </c>
      <c r="F513" s="5" t="n"/>
      <c r="G513" s="5" t="n"/>
    </row>
    <row r="514">
      <c r="A514" s="5" t="n"/>
      <c r="B514" s="12" t="n"/>
      <c r="C514" s="5" t="n"/>
      <c r="D514" s="8">
        <f>IF($C514="","",IFERROR(INDEX('Master Inventory'!$B:$B,MATCH($C514,'Master Inventory'!$A:$A,0)),""))</f>
        <v/>
      </c>
      <c r="E514" s="8">
        <f>IF($C514="","",IFERROR(INDEX('Master Inventory'!$C:$C,MATCH($C514,'Master Inventory'!$A:$A,0)),""))</f>
        <v/>
      </c>
      <c r="F514" s="5" t="n"/>
      <c r="G514" s="5" t="n"/>
    </row>
    <row r="515">
      <c r="A515" s="5" t="n"/>
      <c r="B515" s="12" t="n"/>
      <c r="C515" s="5" t="n"/>
      <c r="D515" s="8">
        <f>IF($C515="","",IFERROR(INDEX('Master Inventory'!$B:$B,MATCH($C515,'Master Inventory'!$A:$A,0)),""))</f>
        <v/>
      </c>
      <c r="E515" s="8">
        <f>IF($C515="","",IFERROR(INDEX('Master Inventory'!$C:$C,MATCH($C515,'Master Inventory'!$A:$A,0)),""))</f>
        <v/>
      </c>
      <c r="F515" s="5" t="n"/>
      <c r="G515" s="5" t="n"/>
    </row>
    <row r="516">
      <c r="A516" s="5" t="n"/>
      <c r="B516" s="12" t="n"/>
      <c r="C516" s="5" t="n"/>
      <c r="D516" s="8">
        <f>IF($C516="","",IFERROR(INDEX('Master Inventory'!$B:$B,MATCH($C516,'Master Inventory'!$A:$A,0)),""))</f>
        <v/>
      </c>
      <c r="E516" s="8">
        <f>IF($C516="","",IFERROR(INDEX('Master Inventory'!$C:$C,MATCH($C516,'Master Inventory'!$A:$A,0)),""))</f>
        <v/>
      </c>
      <c r="F516" s="5" t="n"/>
      <c r="G516" s="5" t="n"/>
    </row>
    <row r="517">
      <c r="A517" s="5" t="n"/>
      <c r="B517" s="12" t="n"/>
      <c r="C517" s="5" t="n"/>
      <c r="D517" s="8">
        <f>IF($C517="","",IFERROR(INDEX('Master Inventory'!$B:$B,MATCH($C517,'Master Inventory'!$A:$A,0)),""))</f>
        <v/>
      </c>
      <c r="E517" s="8">
        <f>IF($C517="","",IFERROR(INDEX('Master Inventory'!$C:$C,MATCH($C517,'Master Inventory'!$A:$A,0)),""))</f>
        <v/>
      </c>
      <c r="F517" s="5" t="n"/>
      <c r="G517" s="5" t="n"/>
    </row>
    <row r="518">
      <c r="A518" s="5" t="n"/>
      <c r="B518" s="12" t="n"/>
      <c r="C518" s="5" t="n"/>
      <c r="D518" s="8">
        <f>IF($C518="","",IFERROR(INDEX('Master Inventory'!$B:$B,MATCH($C518,'Master Inventory'!$A:$A,0)),""))</f>
        <v/>
      </c>
      <c r="E518" s="8">
        <f>IF($C518="","",IFERROR(INDEX('Master Inventory'!$C:$C,MATCH($C518,'Master Inventory'!$A:$A,0)),""))</f>
        <v/>
      </c>
      <c r="F518" s="5" t="n"/>
      <c r="G518" s="5" t="n"/>
    </row>
    <row r="519">
      <c r="A519" s="5" t="n"/>
      <c r="B519" s="12" t="n"/>
      <c r="C519" s="5" t="n"/>
      <c r="D519" s="8">
        <f>IF($C519="","",IFERROR(INDEX('Master Inventory'!$B:$B,MATCH($C519,'Master Inventory'!$A:$A,0)),""))</f>
        <v/>
      </c>
      <c r="E519" s="8">
        <f>IF($C519="","",IFERROR(INDEX('Master Inventory'!$C:$C,MATCH($C519,'Master Inventory'!$A:$A,0)),""))</f>
        <v/>
      </c>
      <c r="F519" s="5" t="n"/>
      <c r="G519" s="5" t="n"/>
    </row>
    <row r="520">
      <c r="A520" s="5" t="n"/>
      <c r="B520" s="12" t="n"/>
      <c r="C520" s="5" t="n"/>
      <c r="D520" s="8">
        <f>IF($C520="","",IFERROR(INDEX('Master Inventory'!$B:$B,MATCH($C520,'Master Inventory'!$A:$A,0)),""))</f>
        <v/>
      </c>
      <c r="E520" s="8">
        <f>IF($C520="","",IFERROR(INDEX('Master Inventory'!$C:$C,MATCH($C520,'Master Inventory'!$A:$A,0)),""))</f>
        <v/>
      </c>
      <c r="F520" s="5" t="n"/>
      <c r="G520" s="5" t="n"/>
    </row>
    <row r="521">
      <c r="A521" s="5" t="n"/>
      <c r="B521" s="12" t="n"/>
      <c r="C521" s="5" t="n"/>
      <c r="D521" s="8">
        <f>IF($C521="","",IFERROR(INDEX('Master Inventory'!$B:$B,MATCH($C521,'Master Inventory'!$A:$A,0)),""))</f>
        <v/>
      </c>
      <c r="E521" s="8">
        <f>IF($C521="","",IFERROR(INDEX('Master Inventory'!$C:$C,MATCH($C521,'Master Inventory'!$A:$A,0)),""))</f>
        <v/>
      </c>
      <c r="F521" s="5" t="n"/>
      <c r="G521" s="5" t="n"/>
    </row>
    <row r="522">
      <c r="A522" s="5" t="n"/>
      <c r="B522" s="12" t="n"/>
      <c r="C522" s="5" t="n"/>
      <c r="D522" s="8">
        <f>IF($C522="","",IFERROR(INDEX('Master Inventory'!$B:$B,MATCH($C522,'Master Inventory'!$A:$A,0)),""))</f>
        <v/>
      </c>
      <c r="E522" s="8">
        <f>IF($C522="","",IFERROR(INDEX('Master Inventory'!$C:$C,MATCH($C522,'Master Inventory'!$A:$A,0)),""))</f>
        <v/>
      </c>
      <c r="F522" s="5" t="n"/>
      <c r="G522" s="5" t="n"/>
    </row>
    <row r="523">
      <c r="A523" s="5" t="n"/>
      <c r="B523" s="12" t="n"/>
      <c r="C523" s="5" t="n"/>
      <c r="D523" s="8">
        <f>IF($C523="","",IFERROR(INDEX('Master Inventory'!$B:$B,MATCH($C523,'Master Inventory'!$A:$A,0)),""))</f>
        <v/>
      </c>
      <c r="E523" s="8">
        <f>IF($C523="","",IFERROR(INDEX('Master Inventory'!$C:$C,MATCH($C523,'Master Inventory'!$A:$A,0)),""))</f>
        <v/>
      </c>
      <c r="F523" s="5" t="n"/>
      <c r="G523" s="5" t="n"/>
    </row>
    <row r="524">
      <c r="A524" s="5" t="n"/>
      <c r="B524" s="12" t="n"/>
      <c r="C524" s="5" t="n"/>
      <c r="D524" s="8">
        <f>IF($C524="","",IFERROR(INDEX('Master Inventory'!$B:$B,MATCH($C524,'Master Inventory'!$A:$A,0)),""))</f>
        <v/>
      </c>
      <c r="E524" s="8">
        <f>IF($C524="","",IFERROR(INDEX('Master Inventory'!$C:$C,MATCH($C524,'Master Inventory'!$A:$A,0)),""))</f>
        <v/>
      </c>
      <c r="F524" s="5" t="n"/>
      <c r="G524" s="5" t="n"/>
    </row>
    <row r="525">
      <c r="A525" s="5" t="n"/>
      <c r="B525" s="12" t="n"/>
      <c r="C525" s="5" t="n"/>
      <c r="D525" s="8">
        <f>IF($C525="","",IFERROR(INDEX('Master Inventory'!$B:$B,MATCH($C525,'Master Inventory'!$A:$A,0)),""))</f>
        <v/>
      </c>
      <c r="E525" s="8">
        <f>IF($C525="","",IFERROR(INDEX('Master Inventory'!$C:$C,MATCH($C525,'Master Inventory'!$A:$A,0)),""))</f>
        <v/>
      </c>
      <c r="F525" s="5" t="n"/>
      <c r="G525" s="5" t="n"/>
    </row>
    <row r="526">
      <c r="A526" s="5" t="n"/>
      <c r="B526" s="12" t="n"/>
      <c r="C526" s="5" t="n"/>
      <c r="D526" s="8">
        <f>IF($C526="","",IFERROR(INDEX('Master Inventory'!$B:$B,MATCH($C526,'Master Inventory'!$A:$A,0)),""))</f>
        <v/>
      </c>
      <c r="E526" s="8">
        <f>IF($C526="","",IFERROR(INDEX('Master Inventory'!$C:$C,MATCH($C526,'Master Inventory'!$A:$A,0)),""))</f>
        <v/>
      </c>
      <c r="F526" s="5" t="n"/>
      <c r="G526" s="5" t="n"/>
    </row>
    <row r="527">
      <c r="A527" s="5" t="n"/>
      <c r="B527" s="12" t="n"/>
      <c r="C527" s="5" t="n"/>
      <c r="D527" s="8">
        <f>IF($C527="","",IFERROR(INDEX('Master Inventory'!$B:$B,MATCH($C527,'Master Inventory'!$A:$A,0)),""))</f>
        <v/>
      </c>
      <c r="E527" s="8">
        <f>IF($C527="","",IFERROR(INDEX('Master Inventory'!$C:$C,MATCH($C527,'Master Inventory'!$A:$A,0)),""))</f>
        <v/>
      </c>
      <c r="F527" s="5" t="n"/>
      <c r="G527" s="5" t="n"/>
    </row>
    <row r="528">
      <c r="A528" s="5" t="n"/>
      <c r="B528" s="12" t="n"/>
      <c r="C528" s="5" t="n"/>
      <c r="D528" s="8">
        <f>IF($C528="","",IFERROR(INDEX('Master Inventory'!$B:$B,MATCH($C528,'Master Inventory'!$A:$A,0)),""))</f>
        <v/>
      </c>
      <c r="E528" s="8">
        <f>IF($C528="","",IFERROR(INDEX('Master Inventory'!$C:$C,MATCH($C528,'Master Inventory'!$A:$A,0)),""))</f>
        <v/>
      </c>
      <c r="F528" s="5" t="n"/>
      <c r="G528" s="5" t="n"/>
    </row>
    <row r="529">
      <c r="A529" s="5" t="n"/>
      <c r="B529" s="12" t="n"/>
      <c r="C529" s="5" t="n"/>
      <c r="D529" s="8">
        <f>IF($C529="","",IFERROR(INDEX('Master Inventory'!$B:$B,MATCH($C529,'Master Inventory'!$A:$A,0)),""))</f>
        <v/>
      </c>
      <c r="E529" s="8">
        <f>IF($C529="","",IFERROR(INDEX('Master Inventory'!$C:$C,MATCH($C529,'Master Inventory'!$A:$A,0)),""))</f>
        <v/>
      </c>
      <c r="F529" s="5" t="n"/>
      <c r="G529" s="5" t="n"/>
    </row>
    <row r="530">
      <c r="A530" s="5" t="n"/>
      <c r="B530" s="12" t="n"/>
      <c r="C530" s="5" t="n"/>
      <c r="D530" s="8">
        <f>IF($C530="","",IFERROR(INDEX('Master Inventory'!$B:$B,MATCH($C530,'Master Inventory'!$A:$A,0)),""))</f>
        <v/>
      </c>
      <c r="E530" s="8">
        <f>IF($C530="","",IFERROR(INDEX('Master Inventory'!$C:$C,MATCH($C530,'Master Inventory'!$A:$A,0)),""))</f>
        <v/>
      </c>
      <c r="F530" s="5" t="n"/>
      <c r="G530" s="5" t="n"/>
    </row>
    <row r="531">
      <c r="A531" s="5" t="n"/>
      <c r="B531" s="12" t="n"/>
      <c r="C531" s="5" t="n"/>
      <c r="D531" s="8">
        <f>IF($C531="","",IFERROR(INDEX('Master Inventory'!$B:$B,MATCH($C531,'Master Inventory'!$A:$A,0)),""))</f>
        <v/>
      </c>
      <c r="E531" s="8">
        <f>IF($C531="","",IFERROR(INDEX('Master Inventory'!$C:$C,MATCH($C531,'Master Inventory'!$A:$A,0)),""))</f>
        <v/>
      </c>
      <c r="F531" s="5" t="n"/>
      <c r="G531" s="5" t="n"/>
    </row>
    <row r="532">
      <c r="A532" s="5" t="n"/>
      <c r="B532" s="12" t="n"/>
      <c r="C532" s="5" t="n"/>
      <c r="D532" s="8">
        <f>IF($C532="","",IFERROR(INDEX('Master Inventory'!$B:$B,MATCH($C532,'Master Inventory'!$A:$A,0)),""))</f>
        <v/>
      </c>
      <c r="E532" s="8">
        <f>IF($C532="","",IFERROR(INDEX('Master Inventory'!$C:$C,MATCH($C532,'Master Inventory'!$A:$A,0)),""))</f>
        <v/>
      </c>
      <c r="F532" s="5" t="n"/>
      <c r="G532" s="5" t="n"/>
    </row>
    <row r="533">
      <c r="A533" s="5" t="n"/>
      <c r="B533" s="12" t="n"/>
      <c r="C533" s="5" t="n"/>
      <c r="D533" s="8">
        <f>IF($C533="","",IFERROR(INDEX('Master Inventory'!$B:$B,MATCH($C533,'Master Inventory'!$A:$A,0)),""))</f>
        <v/>
      </c>
      <c r="E533" s="8">
        <f>IF($C533="","",IFERROR(INDEX('Master Inventory'!$C:$C,MATCH($C533,'Master Inventory'!$A:$A,0)),""))</f>
        <v/>
      </c>
      <c r="F533" s="5" t="n"/>
      <c r="G533" s="5" t="n"/>
    </row>
    <row r="534">
      <c r="A534" s="5" t="n"/>
      <c r="B534" s="12" t="n"/>
      <c r="C534" s="5" t="n"/>
      <c r="D534" s="8">
        <f>IF($C534="","",IFERROR(INDEX('Master Inventory'!$B:$B,MATCH($C534,'Master Inventory'!$A:$A,0)),""))</f>
        <v/>
      </c>
      <c r="E534" s="8">
        <f>IF($C534="","",IFERROR(INDEX('Master Inventory'!$C:$C,MATCH($C534,'Master Inventory'!$A:$A,0)),""))</f>
        <v/>
      </c>
      <c r="F534" s="5" t="n"/>
      <c r="G534" s="5" t="n"/>
    </row>
    <row r="535">
      <c r="A535" s="5" t="n"/>
      <c r="B535" s="12" t="n"/>
      <c r="C535" s="5" t="n"/>
      <c r="D535" s="8">
        <f>IF($C535="","",IFERROR(INDEX('Master Inventory'!$B:$B,MATCH($C535,'Master Inventory'!$A:$A,0)),""))</f>
        <v/>
      </c>
      <c r="E535" s="8">
        <f>IF($C535="","",IFERROR(INDEX('Master Inventory'!$C:$C,MATCH($C535,'Master Inventory'!$A:$A,0)),""))</f>
        <v/>
      </c>
      <c r="F535" s="5" t="n"/>
      <c r="G535" s="5" t="n"/>
    </row>
    <row r="536">
      <c r="A536" s="5" t="n"/>
      <c r="B536" s="12" t="n"/>
      <c r="C536" s="5" t="n"/>
      <c r="D536" s="8">
        <f>IF($C536="","",IFERROR(INDEX('Master Inventory'!$B:$B,MATCH($C536,'Master Inventory'!$A:$A,0)),""))</f>
        <v/>
      </c>
      <c r="E536" s="8">
        <f>IF($C536="","",IFERROR(INDEX('Master Inventory'!$C:$C,MATCH($C536,'Master Inventory'!$A:$A,0)),""))</f>
        <v/>
      </c>
      <c r="F536" s="5" t="n"/>
      <c r="G536" s="5" t="n"/>
    </row>
    <row r="537">
      <c r="A537" s="5" t="n"/>
      <c r="B537" s="12" t="n"/>
      <c r="C537" s="5" t="n"/>
      <c r="D537" s="8">
        <f>IF($C537="","",IFERROR(INDEX('Master Inventory'!$B:$B,MATCH($C537,'Master Inventory'!$A:$A,0)),""))</f>
        <v/>
      </c>
      <c r="E537" s="8">
        <f>IF($C537="","",IFERROR(INDEX('Master Inventory'!$C:$C,MATCH($C537,'Master Inventory'!$A:$A,0)),""))</f>
        <v/>
      </c>
      <c r="F537" s="5" t="n"/>
      <c r="G537" s="5" t="n"/>
    </row>
    <row r="538">
      <c r="A538" s="5" t="n"/>
      <c r="B538" s="12" t="n"/>
      <c r="C538" s="5" t="n"/>
      <c r="D538" s="8">
        <f>IF($C538="","",IFERROR(INDEX('Master Inventory'!$B:$B,MATCH($C538,'Master Inventory'!$A:$A,0)),""))</f>
        <v/>
      </c>
      <c r="E538" s="8">
        <f>IF($C538="","",IFERROR(INDEX('Master Inventory'!$C:$C,MATCH($C538,'Master Inventory'!$A:$A,0)),""))</f>
        <v/>
      </c>
      <c r="F538" s="5" t="n"/>
      <c r="G538" s="5" t="n"/>
    </row>
    <row r="539">
      <c r="A539" s="5" t="n"/>
      <c r="B539" s="12" t="n"/>
      <c r="C539" s="5" t="n"/>
      <c r="D539" s="8">
        <f>IF($C539="","",IFERROR(INDEX('Master Inventory'!$B:$B,MATCH($C539,'Master Inventory'!$A:$A,0)),""))</f>
        <v/>
      </c>
      <c r="E539" s="8">
        <f>IF($C539="","",IFERROR(INDEX('Master Inventory'!$C:$C,MATCH($C539,'Master Inventory'!$A:$A,0)),""))</f>
        <v/>
      </c>
      <c r="F539" s="5" t="n"/>
      <c r="G539" s="5" t="n"/>
    </row>
    <row r="540">
      <c r="A540" s="5" t="n"/>
      <c r="B540" s="12" t="n"/>
      <c r="C540" s="5" t="n"/>
      <c r="D540" s="8">
        <f>IF($C540="","",IFERROR(INDEX('Master Inventory'!$B:$B,MATCH($C540,'Master Inventory'!$A:$A,0)),""))</f>
        <v/>
      </c>
      <c r="E540" s="8">
        <f>IF($C540="","",IFERROR(INDEX('Master Inventory'!$C:$C,MATCH($C540,'Master Inventory'!$A:$A,0)),""))</f>
        <v/>
      </c>
      <c r="F540" s="5" t="n"/>
      <c r="G540" s="5" t="n"/>
    </row>
    <row r="541">
      <c r="A541" s="5" t="n"/>
      <c r="B541" s="12" t="n"/>
      <c r="C541" s="5" t="n"/>
      <c r="D541" s="8">
        <f>IF($C541="","",IFERROR(INDEX('Master Inventory'!$B:$B,MATCH($C541,'Master Inventory'!$A:$A,0)),""))</f>
        <v/>
      </c>
      <c r="E541" s="8">
        <f>IF($C541="","",IFERROR(INDEX('Master Inventory'!$C:$C,MATCH($C541,'Master Inventory'!$A:$A,0)),""))</f>
        <v/>
      </c>
      <c r="F541" s="5" t="n"/>
      <c r="G541" s="5" t="n"/>
    </row>
    <row r="542">
      <c r="A542" s="5" t="n"/>
      <c r="B542" s="12" t="n"/>
      <c r="C542" s="5" t="n"/>
      <c r="D542" s="8">
        <f>IF($C542="","",IFERROR(INDEX('Master Inventory'!$B:$B,MATCH($C542,'Master Inventory'!$A:$A,0)),""))</f>
        <v/>
      </c>
      <c r="E542" s="8">
        <f>IF($C542="","",IFERROR(INDEX('Master Inventory'!$C:$C,MATCH($C542,'Master Inventory'!$A:$A,0)),""))</f>
        <v/>
      </c>
      <c r="F542" s="5" t="n"/>
      <c r="G542" s="5" t="n"/>
    </row>
    <row r="543">
      <c r="A543" s="5" t="n"/>
      <c r="B543" s="12" t="n"/>
      <c r="C543" s="5" t="n"/>
      <c r="D543" s="8">
        <f>IF($C543="","",IFERROR(INDEX('Master Inventory'!$B:$B,MATCH($C543,'Master Inventory'!$A:$A,0)),""))</f>
        <v/>
      </c>
      <c r="E543" s="8">
        <f>IF($C543="","",IFERROR(INDEX('Master Inventory'!$C:$C,MATCH($C543,'Master Inventory'!$A:$A,0)),""))</f>
        <v/>
      </c>
      <c r="F543" s="5" t="n"/>
      <c r="G543" s="5" t="n"/>
    </row>
    <row r="544">
      <c r="A544" s="5" t="n"/>
      <c r="B544" s="12" t="n"/>
      <c r="C544" s="5" t="n"/>
      <c r="D544" s="8">
        <f>IF($C544="","",IFERROR(INDEX('Master Inventory'!$B:$B,MATCH($C544,'Master Inventory'!$A:$A,0)),""))</f>
        <v/>
      </c>
      <c r="E544" s="8">
        <f>IF($C544="","",IFERROR(INDEX('Master Inventory'!$C:$C,MATCH($C544,'Master Inventory'!$A:$A,0)),""))</f>
        <v/>
      </c>
      <c r="F544" s="5" t="n"/>
      <c r="G544" s="5" t="n"/>
    </row>
    <row r="545">
      <c r="A545" s="5" t="n"/>
      <c r="B545" s="12" t="n"/>
      <c r="C545" s="5" t="n"/>
      <c r="D545" s="8">
        <f>IF($C545="","",IFERROR(INDEX('Master Inventory'!$B:$B,MATCH($C545,'Master Inventory'!$A:$A,0)),""))</f>
        <v/>
      </c>
      <c r="E545" s="8">
        <f>IF($C545="","",IFERROR(INDEX('Master Inventory'!$C:$C,MATCH($C545,'Master Inventory'!$A:$A,0)),""))</f>
        <v/>
      </c>
      <c r="F545" s="5" t="n"/>
      <c r="G545" s="5" t="n"/>
    </row>
    <row r="546">
      <c r="A546" s="5" t="n"/>
      <c r="B546" s="12" t="n"/>
      <c r="C546" s="5" t="n"/>
      <c r="D546" s="8">
        <f>IF($C546="","",IFERROR(INDEX('Master Inventory'!$B:$B,MATCH($C546,'Master Inventory'!$A:$A,0)),""))</f>
        <v/>
      </c>
      <c r="E546" s="8">
        <f>IF($C546="","",IFERROR(INDEX('Master Inventory'!$C:$C,MATCH($C546,'Master Inventory'!$A:$A,0)),""))</f>
        <v/>
      </c>
      <c r="F546" s="5" t="n"/>
      <c r="G546" s="5" t="n"/>
    </row>
    <row r="547">
      <c r="A547" s="5" t="n"/>
      <c r="B547" s="12" t="n"/>
      <c r="C547" s="5" t="n"/>
      <c r="D547" s="8">
        <f>IF($C547="","",IFERROR(INDEX('Master Inventory'!$B:$B,MATCH($C547,'Master Inventory'!$A:$A,0)),""))</f>
        <v/>
      </c>
      <c r="E547" s="8">
        <f>IF($C547="","",IFERROR(INDEX('Master Inventory'!$C:$C,MATCH($C547,'Master Inventory'!$A:$A,0)),""))</f>
        <v/>
      </c>
      <c r="F547" s="5" t="n"/>
      <c r="G547" s="5" t="n"/>
    </row>
    <row r="548">
      <c r="A548" s="5" t="n"/>
      <c r="B548" s="12" t="n"/>
      <c r="C548" s="5" t="n"/>
      <c r="D548" s="8">
        <f>IF($C548="","",IFERROR(INDEX('Master Inventory'!$B:$B,MATCH($C548,'Master Inventory'!$A:$A,0)),""))</f>
        <v/>
      </c>
      <c r="E548" s="8">
        <f>IF($C548="","",IFERROR(INDEX('Master Inventory'!$C:$C,MATCH($C548,'Master Inventory'!$A:$A,0)),""))</f>
        <v/>
      </c>
      <c r="F548" s="5" t="n"/>
      <c r="G548" s="5" t="n"/>
    </row>
    <row r="549">
      <c r="A549" s="5" t="n"/>
      <c r="B549" s="12" t="n"/>
      <c r="C549" s="5" t="n"/>
      <c r="D549" s="8">
        <f>IF($C549="","",IFERROR(INDEX('Master Inventory'!$B:$B,MATCH($C549,'Master Inventory'!$A:$A,0)),""))</f>
        <v/>
      </c>
      <c r="E549" s="8">
        <f>IF($C549="","",IFERROR(INDEX('Master Inventory'!$C:$C,MATCH($C549,'Master Inventory'!$A:$A,0)),""))</f>
        <v/>
      </c>
      <c r="F549" s="5" t="n"/>
      <c r="G549" s="5" t="n"/>
    </row>
    <row r="550">
      <c r="A550" s="5" t="n"/>
      <c r="B550" s="12" t="n"/>
      <c r="C550" s="5" t="n"/>
      <c r="D550" s="8">
        <f>IF($C550="","",IFERROR(INDEX('Master Inventory'!$B:$B,MATCH($C550,'Master Inventory'!$A:$A,0)),""))</f>
        <v/>
      </c>
      <c r="E550" s="8">
        <f>IF($C550="","",IFERROR(INDEX('Master Inventory'!$C:$C,MATCH($C550,'Master Inventory'!$A:$A,0)),""))</f>
        <v/>
      </c>
      <c r="F550" s="5" t="n"/>
      <c r="G550" s="5" t="n"/>
    </row>
    <row r="551">
      <c r="A551" s="5" t="n"/>
      <c r="B551" s="12" t="n"/>
      <c r="C551" s="5" t="n"/>
      <c r="D551" s="8">
        <f>IF($C551="","",IFERROR(INDEX('Master Inventory'!$B:$B,MATCH($C551,'Master Inventory'!$A:$A,0)),""))</f>
        <v/>
      </c>
      <c r="E551" s="8">
        <f>IF($C551="","",IFERROR(INDEX('Master Inventory'!$C:$C,MATCH($C551,'Master Inventory'!$A:$A,0)),""))</f>
        <v/>
      </c>
      <c r="F551" s="5" t="n"/>
      <c r="G551" s="5" t="n"/>
    </row>
    <row r="552">
      <c r="A552" s="5" t="n"/>
      <c r="B552" s="12" t="n"/>
      <c r="C552" s="5" t="n"/>
      <c r="D552" s="8">
        <f>IF($C552="","",IFERROR(INDEX('Master Inventory'!$B:$B,MATCH($C552,'Master Inventory'!$A:$A,0)),""))</f>
        <v/>
      </c>
      <c r="E552" s="8">
        <f>IF($C552="","",IFERROR(INDEX('Master Inventory'!$C:$C,MATCH($C552,'Master Inventory'!$A:$A,0)),""))</f>
        <v/>
      </c>
      <c r="F552" s="5" t="n"/>
      <c r="G552" s="5" t="n"/>
    </row>
    <row r="553">
      <c r="A553" s="5" t="n"/>
      <c r="B553" s="12" t="n"/>
      <c r="C553" s="5" t="n"/>
      <c r="D553" s="8">
        <f>IF($C553="","",IFERROR(INDEX('Master Inventory'!$B:$B,MATCH($C553,'Master Inventory'!$A:$A,0)),""))</f>
        <v/>
      </c>
      <c r="E553" s="8">
        <f>IF($C553="","",IFERROR(INDEX('Master Inventory'!$C:$C,MATCH($C553,'Master Inventory'!$A:$A,0)),""))</f>
        <v/>
      </c>
      <c r="F553" s="5" t="n"/>
      <c r="G553" s="5" t="n"/>
    </row>
    <row r="554">
      <c r="A554" s="5" t="n"/>
      <c r="B554" s="12" t="n"/>
      <c r="C554" s="5" t="n"/>
      <c r="D554" s="8">
        <f>IF($C554="","",IFERROR(INDEX('Master Inventory'!$B:$B,MATCH($C554,'Master Inventory'!$A:$A,0)),""))</f>
        <v/>
      </c>
      <c r="E554" s="8">
        <f>IF($C554="","",IFERROR(INDEX('Master Inventory'!$C:$C,MATCH($C554,'Master Inventory'!$A:$A,0)),""))</f>
        <v/>
      </c>
      <c r="F554" s="5" t="n"/>
      <c r="G554" s="5" t="n"/>
    </row>
    <row r="555">
      <c r="A555" s="5" t="n"/>
      <c r="B555" s="12" t="n"/>
      <c r="C555" s="5" t="n"/>
      <c r="D555" s="8">
        <f>IF($C555="","",IFERROR(INDEX('Master Inventory'!$B:$B,MATCH($C555,'Master Inventory'!$A:$A,0)),""))</f>
        <v/>
      </c>
      <c r="E555" s="8">
        <f>IF($C555="","",IFERROR(INDEX('Master Inventory'!$C:$C,MATCH($C555,'Master Inventory'!$A:$A,0)),""))</f>
        <v/>
      </c>
      <c r="F555" s="5" t="n"/>
      <c r="G555" s="5" t="n"/>
    </row>
    <row r="556">
      <c r="A556" s="5" t="n"/>
      <c r="B556" s="12" t="n"/>
      <c r="C556" s="5" t="n"/>
      <c r="D556" s="8">
        <f>IF($C556="","",IFERROR(INDEX('Master Inventory'!$B:$B,MATCH($C556,'Master Inventory'!$A:$A,0)),""))</f>
        <v/>
      </c>
      <c r="E556" s="8">
        <f>IF($C556="","",IFERROR(INDEX('Master Inventory'!$C:$C,MATCH($C556,'Master Inventory'!$A:$A,0)),""))</f>
        <v/>
      </c>
      <c r="F556" s="5" t="n"/>
      <c r="G556" s="5" t="n"/>
    </row>
    <row r="557">
      <c r="A557" s="5" t="n"/>
      <c r="B557" s="12" t="n"/>
      <c r="C557" s="5" t="n"/>
      <c r="D557" s="8">
        <f>IF($C557="","",IFERROR(INDEX('Master Inventory'!$B:$B,MATCH($C557,'Master Inventory'!$A:$A,0)),""))</f>
        <v/>
      </c>
      <c r="E557" s="8">
        <f>IF($C557="","",IFERROR(INDEX('Master Inventory'!$C:$C,MATCH($C557,'Master Inventory'!$A:$A,0)),""))</f>
        <v/>
      </c>
      <c r="F557" s="5" t="n"/>
      <c r="G557" s="5" t="n"/>
    </row>
    <row r="558">
      <c r="A558" s="5" t="n"/>
      <c r="B558" s="12" t="n"/>
      <c r="C558" s="5" t="n"/>
      <c r="D558" s="8">
        <f>IF($C558="","",IFERROR(INDEX('Master Inventory'!$B:$B,MATCH($C558,'Master Inventory'!$A:$A,0)),""))</f>
        <v/>
      </c>
      <c r="E558" s="8">
        <f>IF($C558="","",IFERROR(INDEX('Master Inventory'!$C:$C,MATCH($C558,'Master Inventory'!$A:$A,0)),""))</f>
        <v/>
      </c>
      <c r="F558" s="5" t="n"/>
      <c r="G558" s="5" t="n"/>
    </row>
    <row r="559">
      <c r="A559" s="5" t="n"/>
      <c r="B559" s="12" t="n"/>
      <c r="C559" s="5" t="n"/>
      <c r="D559" s="8">
        <f>IF($C559="","",IFERROR(INDEX('Master Inventory'!$B:$B,MATCH($C559,'Master Inventory'!$A:$A,0)),""))</f>
        <v/>
      </c>
      <c r="E559" s="8">
        <f>IF($C559="","",IFERROR(INDEX('Master Inventory'!$C:$C,MATCH($C559,'Master Inventory'!$A:$A,0)),""))</f>
        <v/>
      </c>
      <c r="F559" s="5" t="n"/>
      <c r="G559" s="5" t="n"/>
    </row>
    <row r="560">
      <c r="A560" s="5" t="n"/>
      <c r="B560" s="12" t="n"/>
      <c r="C560" s="5" t="n"/>
      <c r="D560" s="8">
        <f>IF($C560="","",IFERROR(INDEX('Master Inventory'!$B:$B,MATCH($C560,'Master Inventory'!$A:$A,0)),""))</f>
        <v/>
      </c>
      <c r="E560" s="8">
        <f>IF($C560="","",IFERROR(INDEX('Master Inventory'!$C:$C,MATCH($C560,'Master Inventory'!$A:$A,0)),""))</f>
        <v/>
      </c>
      <c r="F560" s="5" t="n"/>
      <c r="G560" s="5" t="n"/>
    </row>
    <row r="561">
      <c r="A561" s="5" t="n"/>
      <c r="B561" s="12" t="n"/>
      <c r="C561" s="5" t="n"/>
      <c r="D561" s="8">
        <f>IF($C561="","",IFERROR(INDEX('Master Inventory'!$B:$B,MATCH($C561,'Master Inventory'!$A:$A,0)),""))</f>
        <v/>
      </c>
      <c r="E561" s="8">
        <f>IF($C561="","",IFERROR(INDEX('Master Inventory'!$C:$C,MATCH($C561,'Master Inventory'!$A:$A,0)),""))</f>
        <v/>
      </c>
      <c r="F561" s="5" t="n"/>
      <c r="G561" s="5" t="n"/>
    </row>
    <row r="562">
      <c r="A562" s="5" t="n"/>
      <c r="B562" s="12" t="n"/>
      <c r="C562" s="5" t="n"/>
      <c r="D562" s="8">
        <f>IF($C562="","",IFERROR(INDEX('Master Inventory'!$B:$B,MATCH($C562,'Master Inventory'!$A:$A,0)),""))</f>
        <v/>
      </c>
      <c r="E562" s="8">
        <f>IF($C562="","",IFERROR(INDEX('Master Inventory'!$C:$C,MATCH($C562,'Master Inventory'!$A:$A,0)),""))</f>
        <v/>
      </c>
      <c r="F562" s="5" t="n"/>
      <c r="G562" s="5" t="n"/>
    </row>
    <row r="563">
      <c r="A563" s="5" t="n"/>
      <c r="B563" s="12" t="n"/>
      <c r="C563" s="5" t="n"/>
      <c r="D563" s="8">
        <f>IF($C563="","",IFERROR(INDEX('Master Inventory'!$B:$B,MATCH($C563,'Master Inventory'!$A:$A,0)),""))</f>
        <v/>
      </c>
      <c r="E563" s="8">
        <f>IF($C563="","",IFERROR(INDEX('Master Inventory'!$C:$C,MATCH($C563,'Master Inventory'!$A:$A,0)),""))</f>
        <v/>
      </c>
      <c r="F563" s="5" t="n"/>
      <c r="G563" s="5" t="n"/>
    </row>
    <row r="564">
      <c r="A564" s="5" t="n"/>
      <c r="B564" s="12" t="n"/>
      <c r="C564" s="5" t="n"/>
      <c r="D564" s="8">
        <f>IF($C564="","",IFERROR(INDEX('Master Inventory'!$B:$B,MATCH($C564,'Master Inventory'!$A:$A,0)),""))</f>
        <v/>
      </c>
      <c r="E564" s="8">
        <f>IF($C564="","",IFERROR(INDEX('Master Inventory'!$C:$C,MATCH($C564,'Master Inventory'!$A:$A,0)),""))</f>
        <v/>
      </c>
      <c r="F564" s="5" t="n"/>
      <c r="G564" s="5" t="n"/>
    </row>
    <row r="565">
      <c r="A565" s="5" t="n"/>
      <c r="B565" s="12" t="n"/>
      <c r="C565" s="5" t="n"/>
      <c r="D565" s="8">
        <f>IF($C565="","",IFERROR(INDEX('Master Inventory'!$B:$B,MATCH($C565,'Master Inventory'!$A:$A,0)),""))</f>
        <v/>
      </c>
      <c r="E565" s="8">
        <f>IF($C565="","",IFERROR(INDEX('Master Inventory'!$C:$C,MATCH($C565,'Master Inventory'!$A:$A,0)),""))</f>
        <v/>
      </c>
      <c r="F565" s="5" t="n"/>
      <c r="G565" s="5" t="n"/>
    </row>
    <row r="566">
      <c r="A566" s="5" t="n"/>
      <c r="B566" s="12" t="n"/>
      <c r="C566" s="5" t="n"/>
      <c r="D566" s="8">
        <f>IF($C566="","",IFERROR(INDEX('Master Inventory'!$B:$B,MATCH($C566,'Master Inventory'!$A:$A,0)),""))</f>
        <v/>
      </c>
      <c r="E566" s="8">
        <f>IF($C566="","",IFERROR(INDEX('Master Inventory'!$C:$C,MATCH($C566,'Master Inventory'!$A:$A,0)),""))</f>
        <v/>
      </c>
      <c r="F566" s="5" t="n"/>
      <c r="G566" s="5" t="n"/>
    </row>
    <row r="567">
      <c r="A567" s="5" t="n"/>
      <c r="B567" s="12" t="n"/>
      <c r="C567" s="5" t="n"/>
      <c r="D567" s="8">
        <f>IF($C567="","",IFERROR(INDEX('Master Inventory'!$B:$B,MATCH($C567,'Master Inventory'!$A:$A,0)),""))</f>
        <v/>
      </c>
      <c r="E567" s="8">
        <f>IF($C567="","",IFERROR(INDEX('Master Inventory'!$C:$C,MATCH($C567,'Master Inventory'!$A:$A,0)),""))</f>
        <v/>
      </c>
      <c r="F567" s="5" t="n"/>
      <c r="G567" s="5" t="n"/>
    </row>
    <row r="568">
      <c r="A568" s="5" t="n"/>
      <c r="B568" s="12" t="n"/>
      <c r="C568" s="5" t="n"/>
      <c r="D568" s="8">
        <f>IF($C568="","",IFERROR(INDEX('Master Inventory'!$B:$B,MATCH($C568,'Master Inventory'!$A:$A,0)),""))</f>
        <v/>
      </c>
      <c r="E568" s="8">
        <f>IF($C568="","",IFERROR(INDEX('Master Inventory'!$C:$C,MATCH($C568,'Master Inventory'!$A:$A,0)),""))</f>
        <v/>
      </c>
      <c r="F568" s="5" t="n"/>
      <c r="G568" s="5" t="n"/>
    </row>
    <row r="569">
      <c r="A569" s="5" t="n"/>
      <c r="B569" s="12" t="n"/>
      <c r="C569" s="5" t="n"/>
      <c r="D569" s="8">
        <f>IF($C569="","",IFERROR(INDEX('Master Inventory'!$B:$B,MATCH($C569,'Master Inventory'!$A:$A,0)),""))</f>
        <v/>
      </c>
      <c r="E569" s="8">
        <f>IF($C569="","",IFERROR(INDEX('Master Inventory'!$C:$C,MATCH($C569,'Master Inventory'!$A:$A,0)),""))</f>
        <v/>
      </c>
      <c r="F569" s="5" t="n"/>
      <c r="G569" s="5" t="n"/>
    </row>
    <row r="570">
      <c r="A570" s="5" t="n"/>
      <c r="B570" s="12" t="n"/>
      <c r="C570" s="5" t="n"/>
      <c r="D570" s="8">
        <f>IF($C570="","",IFERROR(INDEX('Master Inventory'!$B:$B,MATCH($C570,'Master Inventory'!$A:$A,0)),""))</f>
        <v/>
      </c>
      <c r="E570" s="8">
        <f>IF($C570="","",IFERROR(INDEX('Master Inventory'!$C:$C,MATCH($C570,'Master Inventory'!$A:$A,0)),""))</f>
        <v/>
      </c>
      <c r="F570" s="5" t="n"/>
      <c r="G570" s="5" t="n"/>
    </row>
    <row r="571">
      <c r="A571" s="5" t="n"/>
      <c r="B571" s="12" t="n"/>
      <c r="C571" s="5" t="n"/>
      <c r="D571" s="8">
        <f>IF($C571="","",IFERROR(INDEX('Master Inventory'!$B:$B,MATCH($C571,'Master Inventory'!$A:$A,0)),""))</f>
        <v/>
      </c>
      <c r="E571" s="8">
        <f>IF($C571="","",IFERROR(INDEX('Master Inventory'!$C:$C,MATCH($C571,'Master Inventory'!$A:$A,0)),""))</f>
        <v/>
      </c>
      <c r="F571" s="5" t="n"/>
      <c r="G571" s="5" t="n"/>
    </row>
    <row r="572">
      <c r="A572" s="5" t="n"/>
      <c r="B572" s="12" t="n"/>
      <c r="C572" s="5" t="n"/>
      <c r="D572" s="8">
        <f>IF($C572="","",IFERROR(INDEX('Master Inventory'!$B:$B,MATCH($C572,'Master Inventory'!$A:$A,0)),""))</f>
        <v/>
      </c>
      <c r="E572" s="8">
        <f>IF($C572="","",IFERROR(INDEX('Master Inventory'!$C:$C,MATCH($C572,'Master Inventory'!$A:$A,0)),""))</f>
        <v/>
      </c>
      <c r="F572" s="5" t="n"/>
      <c r="G572" s="5" t="n"/>
    </row>
    <row r="573">
      <c r="A573" s="5" t="n"/>
      <c r="B573" s="12" t="n"/>
      <c r="C573" s="5" t="n"/>
      <c r="D573" s="8">
        <f>IF($C573="","",IFERROR(INDEX('Master Inventory'!$B:$B,MATCH($C573,'Master Inventory'!$A:$A,0)),""))</f>
        <v/>
      </c>
      <c r="E573" s="8">
        <f>IF($C573="","",IFERROR(INDEX('Master Inventory'!$C:$C,MATCH($C573,'Master Inventory'!$A:$A,0)),""))</f>
        <v/>
      </c>
      <c r="F573" s="5" t="n"/>
      <c r="G573" s="5" t="n"/>
    </row>
    <row r="574">
      <c r="A574" s="5" t="n"/>
      <c r="B574" s="12" t="n"/>
      <c r="C574" s="5" t="n"/>
      <c r="D574" s="8">
        <f>IF($C574="","",IFERROR(INDEX('Master Inventory'!$B:$B,MATCH($C574,'Master Inventory'!$A:$A,0)),""))</f>
        <v/>
      </c>
      <c r="E574" s="8">
        <f>IF($C574="","",IFERROR(INDEX('Master Inventory'!$C:$C,MATCH($C574,'Master Inventory'!$A:$A,0)),""))</f>
        <v/>
      </c>
      <c r="F574" s="5" t="n"/>
      <c r="G574" s="5" t="n"/>
    </row>
    <row r="575">
      <c r="A575" s="5" t="n"/>
      <c r="B575" s="12" t="n"/>
      <c r="C575" s="5" t="n"/>
      <c r="D575" s="8">
        <f>IF($C575="","",IFERROR(INDEX('Master Inventory'!$B:$B,MATCH($C575,'Master Inventory'!$A:$A,0)),""))</f>
        <v/>
      </c>
      <c r="E575" s="8">
        <f>IF($C575="","",IFERROR(INDEX('Master Inventory'!$C:$C,MATCH($C575,'Master Inventory'!$A:$A,0)),""))</f>
        <v/>
      </c>
      <c r="F575" s="5" t="n"/>
      <c r="G575" s="5" t="n"/>
    </row>
    <row r="576">
      <c r="A576" s="5" t="n"/>
      <c r="B576" s="12" t="n"/>
      <c r="C576" s="5" t="n"/>
      <c r="D576" s="8">
        <f>IF($C576="","",IFERROR(INDEX('Master Inventory'!$B:$B,MATCH($C576,'Master Inventory'!$A:$A,0)),""))</f>
        <v/>
      </c>
      <c r="E576" s="8">
        <f>IF($C576="","",IFERROR(INDEX('Master Inventory'!$C:$C,MATCH($C576,'Master Inventory'!$A:$A,0)),""))</f>
        <v/>
      </c>
      <c r="F576" s="5" t="n"/>
      <c r="G576" s="5" t="n"/>
    </row>
    <row r="577">
      <c r="A577" s="5" t="n"/>
      <c r="B577" s="12" t="n"/>
      <c r="C577" s="5" t="n"/>
      <c r="D577" s="8">
        <f>IF($C577="","",IFERROR(INDEX('Master Inventory'!$B:$B,MATCH($C577,'Master Inventory'!$A:$A,0)),""))</f>
        <v/>
      </c>
      <c r="E577" s="8">
        <f>IF($C577="","",IFERROR(INDEX('Master Inventory'!$C:$C,MATCH($C577,'Master Inventory'!$A:$A,0)),""))</f>
        <v/>
      </c>
      <c r="F577" s="5" t="n"/>
      <c r="G577" s="5" t="n"/>
    </row>
    <row r="578">
      <c r="A578" s="5" t="n"/>
      <c r="B578" s="12" t="n"/>
      <c r="C578" s="5" t="n"/>
      <c r="D578" s="8">
        <f>IF($C578="","",IFERROR(INDEX('Master Inventory'!$B:$B,MATCH($C578,'Master Inventory'!$A:$A,0)),""))</f>
        <v/>
      </c>
      <c r="E578" s="8">
        <f>IF($C578="","",IFERROR(INDEX('Master Inventory'!$C:$C,MATCH($C578,'Master Inventory'!$A:$A,0)),""))</f>
        <v/>
      </c>
      <c r="F578" s="5" t="n"/>
      <c r="G578" s="5" t="n"/>
    </row>
    <row r="579">
      <c r="A579" s="5" t="n"/>
      <c r="B579" s="12" t="n"/>
      <c r="C579" s="5" t="n"/>
      <c r="D579" s="8">
        <f>IF($C579="","",IFERROR(INDEX('Master Inventory'!$B:$B,MATCH($C579,'Master Inventory'!$A:$A,0)),""))</f>
        <v/>
      </c>
      <c r="E579" s="8">
        <f>IF($C579="","",IFERROR(INDEX('Master Inventory'!$C:$C,MATCH($C579,'Master Inventory'!$A:$A,0)),""))</f>
        <v/>
      </c>
      <c r="F579" s="5" t="n"/>
      <c r="G579" s="5" t="n"/>
    </row>
    <row r="580">
      <c r="A580" s="5" t="n"/>
      <c r="B580" s="12" t="n"/>
      <c r="C580" s="5" t="n"/>
      <c r="D580" s="8">
        <f>IF($C580="","",IFERROR(INDEX('Master Inventory'!$B:$B,MATCH($C580,'Master Inventory'!$A:$A,0)),""))</f>
        <v/>
      </c>
      <c r="E580" s="8">
        <f>IF($C580="","",IFERROR(INDEX('Master Inventory'!$C:$C,MATCH($C580,'Master Inventory'!$A:$A,0)),""))</f>
        <v/>
      </c>
      <c r="F580" s="5" t="n"/>
      <c r="G580" s="5" t="n"/>
    </row>
    <row r="581">
      <c r="A581" s="5" t="n"/>
      <c r="B581" s="12" t="n"/>
      <c r="C581" s="5" t="n"/>
      <c r="D581" s="8">
        <f>IF($C581="","",IFERROR(INDEX('Master Inventory'!$B:$B,MATCH($C581,'Master Inventory'!$A:$A,0)),""))</f>
        <v/>
      </c>
      <c r="E581" s="8">
        <f>IF($C581="","",IFERROR(INDEX('Master Inventory'!$C:$C,MATCH($C581,'Master Inventory'!$A:$A,0)),""))</f>
        <v/>
      </c>
      <c r="F581" s="5" t="n"/>
      <c r="G581" s="5" t="n"/>
    </row>
    <row r="582">
      <c r="A582" s="5" t="n"/>
      <c r="B582" s="12" t="n"/>
      <c r="C582" s="5" t="n"/>
      <c r="D582" s="8">
        <f>IF($C582="","",IFERROR(INDEX('Master Inventory'!$B:$B,MATCH($C582,'Master Inventory'!$A:$A,0)),""))</f>
        <v/>
      </c>
      <c r="E582" s="8">
        <f>IF($C582="","",IFERROR(INDEX('Master Inventory'!$C:$C,MATCH($C582,'Master Inventory'!$A:$A,0)),""))</f>
        <v/>
      </c>
      <c r="F582" s="5" t="n"/>
      <c r="G582" s="5" t="n"/>
    </row>
    <row r="583">
      <c r="A583" s="5" t="n"/>
      <c r="B583" s="12" t="n"/>
      <c r="C583" s="5" t="n"/>
      <c r="D583" s="8">
        <f>IF($C583="","",IFERROR(INDEX('Master Inventory'!$B:$B,MATCH($C583,'Master Inventory'!$A:$A,0)),""))</f>
        <v/>
      </c>
      <c r="E583" s="8">
        <f>IF($C583="","",IFERROR(INDEX('Master Inventory'!$C:$C,MATCH($C583,'Master Inventory'!$A:$A,0)),""))</f>
        <v/>
      </c>
      <c r="F583" s="5" t="n"/>
      <c r="G583" s="5" t="n"/>
    </row>
    <row r="584">
      <c r="A584" s="5" t="n"/>
      <c r="B584" s="12" t="n"/>
      <c r="C584" s="5" t="n"/>
      <c r="D584" s="8">
        <f>IF($C584="","",IFERROR(INDEX('Master Inventory'!$B:$B,MATCH($C584,'Master Inventory'!$A:$A,0)),""))</f>
        <v/>
      </c>
      <c r="E584" s="8">
        <f>IF($C584="","",IFERROR(INDEX('Master Inventory'!$C:$C,MATCH($C584,'Master Inventory'!$A:$A,0)),""))</f>
        <v/>
      </c>
      <c r="F584" s="5" t="n"/>
      <c r="G584" s="5" t="n"/>
    </row>
    <row r="585">
      <c r="A585" s="5" t="n"/>
      <c r="B585" s="12" t="n"/>
      <c r="C585" s="5" t="n"/>
      <c r="D585" s="8">
        <f>IF($C585="","",IFERROR(INDEX('Master Inventory'!$B:$B,MATCH($C585,'Master Inventory'!$A:$A,0)),""))</f>
        <v/>
      </c>
      <c r="E585" s="8">
        <f>IF($C585="","",IFERROR(INDEX('Master Inventory'!$C:$C,MATCH($C585,'Master Inventory'!$A:$A,0)),""))</f>
        <v/>
      </c>
      <c r="F585" s="5" t="n"/>
      <c r="G585" s="5" t="n"/>
    </row>
    <row r="586">
      <c r="A586" s="5" t="n"/>
      <c r="B586" s="12" t="n"/>
      <c r="C586" s="5" t="n"/>
      <c r="D586" s="8">
        <f>IF($C586="","",IFERROR(INDEX('Master Inventory'!$B:$B,MATCH($C586,'Master Inventory'!$A:$A,0)),""))</f>
        <v/>
      </c>
      <c r="E586" s="8">
        <f>IF($C586="","",IFERROR(INDEX('Master Inventory'!$C:$C,MATCH($C586,'Master Inventory'!$A:$A,0)),""))</f>
        <v/>
      </c>
      <c r="F586" s="5" t="n"/>
      <c r="G586" s="5" t="n"/>
    </row>
    <row r="587">
      <c r="A587" s="5" t="n"/>
      <c r="B587" s="12" t="n"/>
      <c r="C587" s="5" t="n"/>
      <c r="D587" s="8">
        <f>IF($C587="","",IFERROR(INDEX('Master Inventory'!$B:$B,MATCH($C587,'Master Inventory'!$A:$A,0)),""))</f>
        <v/>
      </c>
      <c r="E587" s="8">
        <f>IF($C587="","",IFERROR(INDEX('Master Inventory'!$C:$C,MATCH($C587,'Master Inventory'!$A:$A,0)),""))</f>
        <v/>
      </c>
      <c r="F587" s="5" t="n"/>
      <c r="G587" s="5" t="n"/>
    </row>
    <row r="588">
      <c r="A588" s="5" t="n"/>
      <c r="B588" s="12" t="n"/>
      <c r="C588" s="5" t="n"/>
      <c r="D588" s="8">
        <f>IF($C588="","",IFERROR(INDEX('Master Inventory'!$B:$B,MATCH($C588,'Master Inventory'!$A:$A,0)),""))</f>
        <v/>
      </c>
      <c r="E588" s="8">
        <f>IF($C588="","",IFERROR(INDEX('Master Inventory'!$C:$C,MATCH($C588,'Master Inventory'!$A:$A,0)),""))</f>
        <v/>
      </c>
      <c r="F588" s="5" t="n"/>
      <c r="G588" s="5" t="n"/>
    </row>
    <row r="589">
      <c r="A589" s="5" t="n"/>
      <c r="B589" s="12" t="n"/>
      <c r="C589" s="5" t="n"/>
      <c r="D589" s="8">
        <f>IF($C589="","",IFERROR(INDEX('Master Inventory'!$B:$B,MATCH($C589,'Master Inventory'!$A:$A,0)),""))</f>
        <v/>
      </c>
      <c r="E589" s="8">
        <f>IF($C589="","",IFERROR(INDEX('Master Inventory'!$C:$C,MATCH($C589,'Master Inventory'!$A:$A,0)),""))</f>
        <v/>
      </c>
      <c r="F589" s="5" t="n"/>
      <c r="G589" s="5" t="n"/>
    </row>
    <row r="590">
      <c r="A590" s="5" t="n"/>
      <c r="B590" s="12" t="n"/>
      <c r="C590" s="5" t="n"/>
      <c r="D590" s="8">
        <f>IF($C590="","",IFERROR(INDEX('Master Inventory'!$B:$B,MATCH($C590,'Master Inventory'!$A:$A,0)),""))</f>
        <v/>
      </c>
      <c r="E590" s="8">
        <f>IF($C590="","",IFERROR(INDEX('Master Inventory'!$C:$C,MATCH($C590,'Master Inventory'!$A:$A,0)),""))</f>
        <v/>
      </c>
      <c r="F590" s="5" t="n"/>
      <c r="G590" s="5" t="n"/>
    </row>
    <row r="591">
      <c r="A591" s="5" t="n"/>
      <c r="B591" s="12" t="n"/>
      <c r="C591" s="5" t="n"/>
      <c r="D591" s="8">
        <f>IF($C591="","",IFERROR(INDEX('Master Inventory'!$B:$B,MATCH($C591,'Master Inventory'!$A:$A,0)),""))</f>
        <v/>
      </c>
      <c r="E591" s="8">
        <f>IF($C591="","",IFERROR(INDEX('Master Inventory'!$C:$C,MATCH($C591,'Master Inventory'!$A:$A,0)),""))</f>
        <v/>
      </c>
      <c r="F591" s="5" t="n"/>
      <c r="G591" s="5" t="n"/>
    </row>
    <row r="592">
      <c r="A592" s="5" t="n"/>
      <c r="B592" s="12" t="n"/>
      <c r="C592" s="5" t="n"/>
      <c r="D592" s="8">
        <f>IF($C592="","",IFERROR(INDEX('Master Inventory'!$B:$B,MATCH($C592,'Master Inventory'!$A:$A,0)),""))</f>
        <v/>
      </c>
      <c r="E592" s="8">
        <f>IF($C592="","",IFERROR(INDEX('Master Inventory'!$C:$C,MATCH($C592,'Master Inventory'!$A:$A,0)),""))</f>
        <v/>
      </c>
      <c r="F592" s="5" t="n"/>
      <c r="G592" s="5" t="n"/>
    </row>
    <row r="593">
      <c r="A593" s="5" t="n"/>
      <c r="B593" s="12" t="n"/>
      <c r="C593" s="5" t="n"/>
      <c r="D593" s="8">
        <f>IF($C593="","",IFERROR(INDEX('Master Inventory'!$B:$B,MATCH($C593,'Master Inventory'!$A:$A,0)),""))</f>
        <v/>
      </c>
      <c r="E593" s="8">
        <f>IF($C593="","",IFERROR(INDEX('Master Inventory'!$C:$C,MATCH($C593,'Master Inventory'!$A:$A,0)),""))</f>
        <v/>
      </c>
      <c r="F593" s="5" t="n"/>
      <c r="G593" s="5" t="n"/>
    </row>
    <row r="594">
      <c r="A594" s="5" t="n"/>
      <c r="B594" s="12" t="n"/>
      <c r="C594" s="5" t="n"/>
      <c r="D594" s="8">
        <f>IF($C594="","",IFERROR(INDEX('Master Inventory'!$B:$B,MATCH($C594,'Master Inventory'!$A:$A,0)),""))</f>
        <v/>
      </c>
      <c r="E594" s="8">
        <f>IF($C594="","",IFERROR(INDEX('Master Inventory'!$C:$C,MATCH($C594,'Master Inventory'!$A:$A,0)),""))</f>
        <v/>
      </c>
      <c r="F594" s="5" t="n"/>
      <c r="G594" s="5" t="n"/>
    </row>
    <row r="595">
      <c r="A595" s="5" t="n"/>
      <c r="B595" s="12" t="n"/>
      <c r="C595" s="5" t="n"/>
      <c r="D595" s="8">
        <f>IF($C595="","",IFERROR(INDEX('Master Inventory'!$B:$B,MATCH($C595,'Master Inventory'!$A:$A,0)),""))</f>
        <v/>
      </c>
      <c r="E595" s="8">
        <f>IF($C595="","",IFERROR(INDEX('Master Inventory'!$C:$C,MATCH($C595,'Master Inventory'!$A:$A,0)),""))</f>
        <v/>
      </c>
      <c r="F595" s="5" t="n"/>
      <c r="G595" s="5" t="n"/>
    </row>
    <row r="596">
      <c r="A596" s="5" t="n"/>
      <c r="B596" s="12" t="n"/>
      <c r="C596" s="5" t="n"/>
      <c r="D596" s="8">
        <f>IF($C596="","",IFERROR(INDEX('Master Inventory'!$B:$B,MATCH($C596,'Master Inventory'!$A:$A,0)),""))</f>
        <v/>
      </c>
      <c r="E596" s="8">
        <f>IF($C596="","",IFERROR(INDEX('Master Inventory'!$C:$C,MATCH($C596,'Master Inventory'!$A:$A,0)),""))</f>
        <v/>
      </c>
      <c r="F596" s="5" t="n"/>
      <c r="G596" s="5" t="n"/>
    </row>
    <row r="597">
      <c r="A597" s="5" t="n"/>
      <c r="B597" s="12" t="n"/>
      <c r="C597" s="5" t="n"/>
      <c r="D597" s="8">
        <f>IF($C597="","",IFERROR(INDEX('Master Inventory'!$B:$B,MATCH($C597,'Master Inventory'!$A:$A,0)),""))</f>
        <v/>
      </c>
      <c r="E597" s="8">
        <f>IF($C597="","",IFERROR(INDEX('Master Inventory'!$C:$C,MATCH($C597,'Master Inventory'!$A:$A,0)),""))</f>
        <v/>
      </c>
      <c r="F597" s="5" t="n"/>
      <c r="G597" s="5" t="n"/>
    </row>
    <row r="598">
      <c r="A598" s="5" t="n"/>
      <c r="B598" s="12" t="n"/>
      <c r="C598" s="5" t="n"/>
      <c r="D598" s="8">
        <f>IF($C598="","",IFERROR(INDEX('Master Inventory'!$B:$B,MATCH($C598,'Master Inventory'!$A:$A,0)),""))</f>
        <v/>
      </c>
      <c r="E598" s="8">
        <f>IF($C598="","",IFERROR(INDEX('Master Inventory'!$C:$C,MATCH($C598,'Master Inventory'!$A:$A,0)),""))</f>
        <v/>
      </c>
      <c r="F598" s="5" t="n"/>
      <c r="G598" s="5" t="n"/>
    </row>
    <row r="599">
      <c r="A599" s="5" t="n"/>
      <c r="B599" s="12" t="n"/>
      <c r="C599" s="5" t="n"/>
      <c r="D599" s="8">
        <f>IF($C599="","",IFERROR(INDEX('Master Inventory'!$B:$B,MATCH($C599,'Master Inventory'!$A:$A,0)),""))</f>
        <v/>
      </c>
      <c r="E599" s="8">
        <f>IF($C599="","",IFERROR(INDEX('Master Inventory'!$C:$C,MATCH($C599,'Master Inventory'!$A:$A,0)),""))</f>
        <v/>
      </c>
      <c r="F599" s="5" t="n"/>
      <c r="G599" s="5" t="n"/>
    </row>
    <row r="600">
      <c r="A600" s="5" t="n"/>
      <c r="B600" s="12" t="n"/>
      <c r="C600" s="5" t="n"/>
      <c r="D600" s="8">
        <f>IF($C600="","",IFERROR(INDEX('Master Inventory'!$B:$B,MATCH($C600,'Master Inventory'!$A:$A,0)),""))</f>
        <v/>
      </c>
      <c r="E600" s="8">
        <f>IF($C600="","",IFERROR(INDEX('Master Inventory'!$C:$C,MATCH($C600,'Master Inventory'!$A:$A,0)),""))</f>
        <v/>
      </c>
      <c r="F600" s="5" t="n"/>
      <c r="G600" s="5" t="n"/>
    </row>
    <row r="601">
      <c r="A601" s="5" t="n"/>
      <c r="B601" s="12" t="n"/>
      <c r="C601" s="5" t="n"/>
      <c r="D601" s="8">
        <f>IF($C601="","",IFERROR(INDEX('Master Inventory'!$B:$B,MATCH($C601,'Master Inventory'!$A:$A,0)),""))</f>
        <v/>
      </c>
      <c r="E601" s="8">
        <f>IF($C601="","",IFERROR(INDEX('Master Inventory'!$C:$C,MATCH($C601,'Master Inventory'!$A:$A,0)),""))</f>
        <v/>
      </c>
      <c r="F601" s="5" t="n"/>
      <c r="G601" s="5" t="n"/>
    </row>
    <row r="602">
      <c r="A602" s="5" t="n"/>
      <c r="B602" s="12" t="n"/>
      <c r="C602" s="5" t="n"/>
      <c r="D602" s="8">
        <f>IF($C602="","",IFERROR(INDEX('Master Inventory'!$B:$B,MATCH($C602,'Master Inventory'!$A:$A,0)),""))</f>
        <v/>
      </c>
      <c r="E602" s="8">
        <f>IF($C602="","",IFERROR(INDEX('Master Inventory'!$C:$C,MATCH($C602,'Master Inventory'!$A:$A,0)),""))</f>
        <v/>
      </c>
      <c r="F602" s="5" t="n"/>
      <c r="G602" s="5" t="n"/>
    </row>
    <row r="603">
      <c r="A603" s="5" t="n"/>
      <c r="B603" s="12" t="n"/>
      <c r="C603" s="5" t="n"/>
      <c r="D603" s="8">
        <f>IF($C603="","",IFERROR(INDEX('Master Inventory'!$B:$B,MATCH($C603,'Master Inventory'!$A:$A,0)),""))</f>
        <v/>
      </c>
      <c r="E603" s="8">
        <f>IF($C603="","",IFERROR(INDEX('Master Inventory'!$C:$C,MATCH($C603,'Master Inventory'!$A:$A,0)),""))</f>
        <v/>
      </c>
      <c r="F603" s="5" t="n"/>
      <c r="G603" s="5" t="n"/>
    </row>
    <row r="604">
      <c r="A604" s="5" t="n"/>
      <c r="B604" s="12" t="n"/>
      <c r="C604" s="5" t="n"/>
      <c r="D604" s="8">
        <f>IF($C604="","",IFERROR(INDEX('Master Inventory'!$B:$B,MATCH($C604,'Master Inventory'!$A:$A,0)),""))</f>
        <v/>
      </c>
      <c r="E604" s="8">
        <f>IF($C604="","",IFERROR(INDEX('Master Inventory'!$C:$C,MATCH($C604,'Master Inventory'!$A:$A,0)),""))</f>
        <v/>
      </c>
      <c r="F604" s="5" t="n"/>
      <c r="G604" s="5" t="n"/>
    </row>
    <row r="605">
      <c r="A605" s="5" t="n"/>
      <c r="B605" s="12" t="n"/>
      <c r="C605" s="5" t="n"/>
      <c r="D605" s="8">
        <f>IF($C605="","",IFERROR(INDEX('Master Inventory'!$B:$B,MATCH($C605,'Master Inventory'!$A:$A,0)),""))</f>
        <v/>
      </c>
      <c r="E605" s="8">
        <f>IF($C605="","",IFERROR(INDEX('Master Inventory'!$C:$C,MATCH($C605,'Master Inventory'!$A:$A,0)),""))</f>
        <v/>
      </c>
      <c r="F605" s="5" t="n"/>
      <c r="G605" s="5" t="n"/>
    </row>
    <row r="606">
      <c r="A606" s="5" t="n"/>
      <c r="B606" s="12" t="n"/>
      <c r="C606" s="5" t="n"/>
      <c r="D606" s="8">
        <f>IF($C606="","",IFERROR(INDEX('Master Inventory'!$B:$B,MATCH($C606,'Master Inventory'!$A:$A,0)),""))</f>
        <v/>
      </c>
      <c r="E606" s="8">
        <f>IF($C606="","",IFERROR(INDEX('Master Inventory'!$C:$C,MATCH($C606,'Master Inventory'!$A:$A,0)),""))</f>
        <v/>
      </c>
      <c r="F606" s="5" t="n"/>
      <c r="G606" s="5" t="n"/>
    </row>
    <row r="607">
      <c r="A607" s="5" t="n"/>
      <c r="B607" s="12" t="n"/>
      <c r="C607" s="5" t="n"/>
      <c r="D607" s="8">
        <f>IF($C607="","",IFERROR(INDEX('Master Inventory'!$B:$B,MATCH($C607,'Master Inventory'!$A:$A,0)),""))</f>
        <v/>
      </c>
      <c r="E607" s="8">
        <f>IF($C607="","",IFERROR(INDEX('Master Inventory'!$C:$C,MATCH($C607,'Master Inventory'!$A:$A,0)),""))</f>
        <v/>
      </c>
      <c r="F607" s="5" t="n"/>
      <c r="G607" s="5" t="n"/>
    </row>
    <row r="608">
      <c r="A608" s="5" t="n"/>
      <c r="B608" s="12" t="n"/>
      <c r="C608" s="5" t="n"/>
      <c r="D608" s="8">
        <f>IF($C608="","",IFERROR(INDEX('Master Inventory'!$B:$B,MATCH($C608,'Master Inventory'!$A:$A,0)),""))</f>
        <v/>
      </c>
      <c r="E608" s="8">
        <f>IF($C608="","",IFERROR(INDEX('Master Inventory'!$C:$C,MATCH($C608,'Master Inventory'!$A:$A,0)),""))</f>
        <v/>
      </c>
      <c r="F608" s="5" t="n"/>
      <c r="G608" s="5" t="n"/>
    </row>
    <row r="609">
      <c r="A609" s="5" t="n"/>
      <c r="B609" s="12" t="n"/>
      <c r="C609" s="5" t="n"/>
      <c r="D609" s="8">
        <f>IF($C609="","",IFERROR(INDEX('Master Inventory'!$B:$B,MATCH($C609,'Master Inventory'!$A:$A,0)),""))</f>
        <v/>
      </c>
      <c r="E609" s="8">
        <f>IF($C609="","",IFERROR(INDEX('Master Inventory'!$C:$C,MATCH($C609,'Master Inventory'!$A:$A,0)),""))</f>
        <v/>
      </c>
      <c r="F609" s="5" t="n"/>
      <c r="G609" s="5" t="n"/>
    </row>
    <row r="610">
      <c r="A610" s="5" t="n"/>
      <c r="B610" s="12" t="n"/>
      <c r="C610" s="5" t="n"/>
      <c r="D610" s="8">
        <f>IF($C610="","",IFERROR(INDEX('Master Inventory'!$B:$B,MATCH($C610,'Master Inventory'!$A:$A,0)),""))</f>
        <v/>
      </c>
      <c r="E610" s="8">
        <f>IF($C610="","",IFERROR(INDEX('Master Inventory'!$C:$C,MATCH($C610,'Master Inventory'!$A:$A,0)),""))</f>
        <v/>
      </c>
      <c r="F610" s="5" t="n"/>
      <c r="G610" s="5" t="n"/>
    </row>
    <row r="611">
      <c r="A611" s="5" t="n"/>
      <c r="B611" s="12" t="n"/>
      <c r="C611" s="5" t="n"/>
      <c r="D611" s="8">
        <f>IF($C611="","",IFERROR(INDEX('Master Inventory'!$B:$B,MATCH($C611,'Master Inventory'!$A:$A,0)),""))</f>
        <v/>
      </c>
      <c r="E611" s="8">
        <f>IF($C611="","",IFERROR(INDEX('Master Inventory'!$C:$C,MATCH($C611,'Master Inventory'!$A:$A,0)),""))</f>
        <v/>
      </c>
      <c r="F611" s="5" t="n"/>
      <c r="G611" s="5" t="n"/>
    </row>
    <row r="612">
      <c r="A612" s="5" t="n"/>
      <c r="B612" s="12" t="n"/>
      <c r="C612" s="5" t="n"/>
      <c r="D612" s="8">
        <f>IF($C612="","",IFERROR(INDEX('Master Inventory'!$B:$B,MATCH($C612,'Master Inventory'!$A:$A,0)),""))</f>
        <v/>
      </c>
      <c r="E612" s="8">
        <f>IF($C612="","",IFERROR(INDEX('Master Inventory'!$C:$C,MATCH($C612,'Master Inventory'!$A:$A,0)),""))</f>
        <v/>
      </c>
      <c r="F612" s="5" t="n"/>
      <c r="G612" s="5" t="n"/>
    </row>
    <row r="613">
      <c r="A613" s="5" t="n"/>
      <c r="B613" s="12" t="n"/>
      <c r="C613" s="5" t="n"/>
      <c r="D613" s="8">
        <f>IF($C613="","",IFERROR(INDEX('Master Inventory'!$B:$B,MATCH($C613,'Master Inventory'!$A:$A,0)),""))</f>
        <v/>
      </c>
      <c r="E613" s="8">
        <f>IF($C613="","",IFERROR(INDEX('Master Inventory'!$C:$C,MATCH($C613,'Master Inventory'!$A:$A,0)),""))</f>
        <v/>
      </c>
      <c r="F613" s="5" t="n"/>
      <c r="G613" s="5" t="n"/>
    </row>
    <row r="614">
      <c r="A614" s="5" t="n"/>
      <c r="B614" s="12" t="n"/>
      <c r="C614" s="5" t="n"/>
      <c r="D614" s="8">
        <f>IF($C614="","",IFERROR(INDEX('Master Inventory'!$B:$B,MATCH($C614,'Master Inventory'!$A:$A,0)),""))</f>
        <v/>
      </c>
      <c r="E614" s="8">
        <f>IF($C614="","",IFERROR(INDEX('Master Inventory'!$C:$C,MATCH($C614,'Master Inventory'!$A:$A,0)),""))</f>
        <v/>
      </c>
      <c r="F614" s="5" t="n"/>
      <c r="G614" s="5" t="n"/>
    </row>
    <row r="615">
      <c r="A615" s="5" t="n"/>
      <c r="B615" s="12" t="n"/>
      <c r="C615" s="5" t="n"/>
      <c r="D615" s="8">
        <f>IF($C615="","",IFERROR(INDEX('Master Inventory'!$B:$B,MATCH($C615,'Master Inventory'!$A:$A,0)),""))</f>
        <v/>
      </c>
      <c r="E615" s="8">
        <f>IF($C615="","",IFERROR(INDEX('Master Inventory'!$C:$C,MATCH($C615,'Master Inventory'!$A:$A,0)),""))</f>
        <v/>
      </c>
      <c r="F615" s="5" t="n"/>
      <c r="G615" s="5" t="n"/>
    </row>
    <row r="616">
      <c r="A616" s="5" t="n"/>
      <c r="B616" s="12" t="n"/>
      <c r="C616" s="5" t="n"/>
      <c r="D616" s="8">
        <f>IF($C616="","",IFERROR(INDEX('Master Inventory'!$B:$B,MATCH($C616,'Master Inventory'!$A:$A,0)),""))</f>
        <v/>
      </c>
      <c r="E616" s="8">
        <f>IF($C616="","",IFERROR(INDEX('Master Inventory'!$C:$C,MATCH($C616,'Master Inventory'!$A:$A,0)),""))</f>
        <v/>
      </c>
      <c r="F616" s="5" t="n"/>
      <c r="G616" s="5" t="n"/>
    </row>
    <row r="617">
      <c r="A617" s="5" t="n"/>
      <c r="B617" s="12" t="n"/>
      <c r="C617" s="5" t="n"/>
      <c r="D617" s="8">
        <f>IF($C617="","",IFERROR(INDEX('Master Inventory'!$B:$B,MATCH($C617,'Master Inventory'!$A:$A,0)),""))</f>
        <v/>
      </c>
      <c r="E617" s="8">
        <f>IF($C617="","",IFERROR(INDEX('Master Inventory'!$C:$C,MATCH($C617,'Master Inventory'!$A:$A,0)),""))</f>
        <v/>
      </c>
      <c r="F617" s="5" t="n"/>
      <c r="G617" s="5" t="n"/>
    </row>
    <row r="618">
      <c r="A618" s="5" t="n"/>
      <c r="B618" s="12" t="n"/>
      <c r="C618" s="5" t="n"/>
      <c r="D618" s="8">
        <f>IF($C618="","",IFERROR(INDEX('Master Inventory'!$B:$B,MATCH($C618,'Master Inventory'!$A:$A,0)),""))</f>
        <v/>
      </c>
      <c r="E618" s="8">
        <f>IF($C618="","",IFERROR(INDEX('Master Inventory'!$C:$C,MATCH($C618,'Master Inventory'!$A:$A,0)),""))</f>
        <v/>
      </c>
      <c r="F618" s="5" t="n"/>
      <c r="G618" s="5" t="n"/>
    </row>
    <row r="619">
      <c r="A619" s="5" t="n"/>
      <c r="B619" s="12" t="n"/>
      <c r="C619" s="5" t="n"/>
      <c r="D619" s="8">
        <f>IF($C619="","",IFERROR(INDEX('Master Inventory'!$B:$B,MATCH($C619,'Master Inventory'!$A:$A,0)),""))</f>
        <v/>
      </c>
      <c r="E619" s="8">
        <f>IF($C619="","",IFERROR(INDEX('Master Inventory'!$C:$C,MATCH($C619,'Master Inventory'!$A:$A,0)),""))</f>
        <v/>
      </c>
      <c r="F619" s="5" t="n"/>
      <c r="G619" s="5" t="n"/>
    </row>
    <row r="620">
      <c r="A620" s="5" t="n"/>
      <c r="B620" s="12" t="n"/>
      <c r="C620" s="5" t="n"/>
      <c r="D620" s="8">
        <f>IF($C620="","",IFERROR(INDEX('Master Inventory'!$B:$B,MATCH($C620,'Master Inventory'!$A:$A,0)),""))</f>
        <v/>
      </c>
      <c r="E620" s="8">
        <f>IF($C620="","",IFERROR(INDEX('Master Inventory'!$C:$C,MATCH($C620,'Master Inventory'!$A:$A,0)),""))</f>
        <v/>
      </c>
      <c r="F620" s="5" t="n"/>
      <c r="G620" s="5" t="n"/>
    </row>
    <row r="621">
      <c r="A621" s="5" t="n"/>
      <c r="B621" s="12" t="n"/>
      <c r="C621" s="5" t="n"/>
      <c r="D621" s="8">
        <f>IF($C621="","",IFERROR(INDEX('Master Inventory'!$B:$B,MATCH($C621,'Master Inventory'!$A:$A,0)),""))</f>
        <v/>
      </c>
      <c r="E621" s="8">
        <f>IF($C621="","",IFERROR(INDEX('Master Inventory'!$C:$C,MATCH($C621,'Master Inventory'!$A:$A,0)),""))</f>
        <v/>
      </c>
      <c r="F621" s="5" t="n"/>
      <c r="G621" s="5" t="n"/>
    </row>
    <row r="622">
      <c r="A622" s="5" t="n"/>
      <c r="B622" s="12" t="n"/>
      <c r="C622" s="5" t="n"/>
      <c r="D622" s="8">
        <f>IF($C622="","",IFERROR(INDEX('Master Inventory'!$B:$B,MATCH($C622,'Master Inventory'!$A:$A,0)),""))</f>
        <v/>
      </c>
      <c r="E622" s="8">
        <f>IF($C622="","",IFERROR(INDEX('Master Inventory'!$C:$C,MATCH($C622,'Master Inventory'!$A:$A,0)),""))</f>
        <v/>
      </c>
      <c r="F622" s="5" t="n"/>
      <c r="G622" s="5" t="n"/>
    </row>
    <row r="623">
      <c r="A623" s="5" t="n"/>
      <c r="B623" s="12" t="n"/>
      <c r="C623" s="5" t="n"/>
      <c r="D623" s="8">
        <f>IF($C623="","",IFERROR(INDEX('Master Inventory'!$B:$B,MATCH($C623,'Master Inventory'!$A:$A,0)),""))</f>
        <v/>
      </c>
      <c r="E623" s="8">
        <f>IF($C623="","",IFERROR(INDEX('Master Inventory'!$C:$C,MATCH($C623,'Master Inventory'!$A:$A,0)),""))</f>
        <v/>
      </c>
      <c r="F623" s="5" t="n"/>
      <c r="G623" s="5" t="n"/>
    </row>
    <row r="624">
      <c r="A624" s="5" t="n"/>
      <c r="B624" s="12" t="n"/>
      <c r="C624" s="5" t="n"/>
      <c r="D624" s="8">
        <f>IF($C624="","",IFERROR(INDEX('Master Inventory'!$B:$B,MATCH($C624,'Master Inventory'!$A:$A,0)),""))</f>
        <v/>
      </c>
      <c r="E624" s="8">
        <f>IF($C624="","",IFERROR(INDEX('Master Inventory'!$C:$C,MATCH($C624,'Master Inventory'!$A:$A,0)),""))</f>
        <v/>
      </c>
      <c r="F624" s="5" t="n"/>
      <c r="G624" s="5" t="n"/>
    </row>
    <row r="625">
      <c r="A625" s="5" t="n"/>
      <c r="B625" s="12" t="n"/>
      <c r="C625" s="5" t="n"/>
      <c r="D625" s="8">
        <f>IF($C625="","",IFERROR(INDEX('Master Inventory'!$B:$B,MATCH($C625,'Master Inventory'!$A:$A,0)),""))</f>
        <v/>
      </c>
      <c r="E625" s="8">
        <f>IF($C625="","",IFERROR(INDEX('Master Inventory'!$C:$C,MATCH($C625,'Master Inventory'!$A:$A,0)),""))</f>
        <v/>
      </c>
      <c r="F625" s="5" t="n"/>
      <c r="G625" s="5" t="n"/>
    </row>
    <row r="626">
      <c r="A626" s="5" t="n"/>
      <c r="B626" s="12" t="n"/>
      <c r="C626" s="5" t="n"/>
      <c r="D626" s="8">
        <f>IF($C626="","",IFERROR(INDEX('Master Inventory'!$B:$B,MATCH($C626,'Master Inventory'!$A:$A,0)),""))</f>
        <v/>
      </c>
      <c r="E626" s="8">
        <f>IF($C626="","",IFERROR(INDEX('Master Inventory'!$C:$C,MATCH($C626,'Master Inventory'!$A:$A,0)),""))</f>
        <v/>
      </c>
      <c r="F626" s="5" t="n"/>
      <c r="G626" s="5" t="n"/>
    </row>
    <row r="627">
      <c r="A627" s="5" t="n"/>
      <c r="B627" s="12" t="n"/>
      <c r="C627" s="5" t="n"/>
      <c r="D627" s="8">
        <f>IF($C627="","",IFERROR(INDEX('Master Inventory'!$B:$B,MATCH($C627,'Master Inventory'!$A:$A,0)),""))</f>
        <v/>
      </c>
      <c r="E627" s="8">
        <f>IF($C627="","",IFERROR(INDEX('Master Inventory'!$C:$C,MATCH($C627,'Master Inventory'!$A:$A,0)),""))</f>
        <v/>
      </c>
      <c r="F627" s="5" t="n"/>
      <c r="G627" s="5" t="n"/>
    </row>
    <row r="628">
      <c r="A628" s="5" t="n"/>
      <c r="B628" s="12" t="n"/>
      <c r="C628" s="5" t="n"/>
      <c r="D628" s="8">
        <f>IF($C628="","",IFERROR(INDEX('Master Inventory'!$B:$B,MATCH($C628,'Master Inventory'!$A:$A,0)),""))</f>
        <v/>
      </c>
      <c r="E628" s="8">
        <f>IF($C628="","",IFERROR(INDEX('Master Inventory'!$C:$C,MATCH($C628,'Master Inventory'!$A:$A,0)),""))</f>
        <v/>
      </c>
      <c r="F628" s="5" t="n"/>
      <c r="G628" s="5" t="n"/>
    </row>
    <row r="629">
      <c r="A629" s="5" t="n"/>
      <c r="B629" s="12" t="n"/>
      <c r="C629" s="5" t="n"/>
      <c r="D629" s="8">
        <f>IF($C629="","",IFERROR(INDEX('Master Inventory'!$B:$B,MATCH($C629,'Master Inventory'!$A:$A,0)),""))</f>
        <v/>
      </c>
      <c r="E629" s="8">
        <f>IF($C629="","",IFERROR(INDEX('Master Inventory'!$C:$C,MATCH($C629,'Master Inventory'!$A:$A,0)),""))</f>
        <v/>
      </c>
      <c r="F629" s="5" t="n"/>
      <c r="G629" s="5" t="n"/>
    </row>
    <row r="630">
      <c r="A630" s="5" t="n"/>
      <c r="B630" s="12" t="n"/>
      <c r="C630" s="5" t="n"/>
      <c r="D630" s="8">
        <f>IF($C630="","",IFERROR(INDEX('Master Inventory'!$B:$B,MATCH($C630,'Master Inventory'!$A:$A,0)),""))</f>
        <v/>
      </c>
      <c r="E630" s="8">
        <f>IF($C630="","",IFERROR(INDEX('Master Inventory'!$C:$C,MATCH($C630,'Master Inventory'!$A:$A,0)),""))</f>
        <v/>
      </c>
      <c r="F630" s="5" t="n"/>
      <c r="G630" s="5" t="n"/>
    </row>
    <row r="631">
      <c r="A631" s="5" t="n"/>
      <c r="B631" s="12" t="n"/>
      <c r="C631" s="5" t="n"/>
      <c r="D631" s="8">
        <f>IF($C631="","",IFERROR(INDEX('Master Inventory'!$B:$B,MATCH($C631,'Master Inventory'!$A:$A,0)),""))</f>
        <v/>
      </c>
      <c r="E631" s="8">
        <f>IF($C631="","",IFERROR(INDEX('Master Inventory'!$C:$C,MATCH($C631,'Master Inventory'!$A:$A,0)),""))</f>
        <v/>
      </c>
      <c r="F631" s="5" t="n"/>
      <c r="G631" s="5" t="n"/>
    </row>
    <row r="632">
      <c r="A632" s="5" t="n"/>
      <c r="B632" s="12" t="n"/>
      <c r="C632" s="5" t="n"/>
      <c r="D632" s="8">
        <f>IF($C632="","",IFERROR(INDEX('Master Inventory'!$B:$B,MATCH($C632,'Master Inventory'!$A:$A,0)),""))</f>
        <v/>
      </c>
      <c r="E632" s="8">
        <f>IF($C632="","",IFERROR(INDEX('Master Inventory'!$C:$C,MATCH($C632,'Master Inventory'!$A:$A,0)),""))</f>
        <v/>
      </c>
      <c r="F632" s="5" t="n"/>
      <c r="G632" s="5" t="n"/>
    </row>
    <row r="633">
      <c r="A633" s="5" t="n"/>
      <c r="B633" s="12" t="n"/>
      <c r="C633" s="5" t="n"/>
      <c r="D633" s="8">
        <f>IF($C633="","",IFERROR(INDEX('Master Inventory'!$B:$B,MATCH($C633,'Master Inventory'!$A:$A,0)),""))</f>
        <v/>
      </c>
      <c r="E633" s="8">
        <f>IF($C633="","",IFERROR(INDEX('Master Inventory'!$C:$C,MATCH($C633,'Master Inventory'!$A:$A,0)),""))</f>
        <v/>
      </c>
      <c r="F633" s="5" t="n"/>
      <c r="G633" s="5" t="n"/>
    </row>
    <row r="634">
      <c r="A634" s="5" t="n"/>
      <c r="B634" s="12" t="n"/>
      <c r="C634" s="5" t="n"/>
      <c r="D634" s="8">
        <f>IF($C634="","",IFERROR(INDEX('Master Inventory'!$B:$B,MATCH($C634,'Master Inventory'!$A:$A,0)),""))</f>
        <v/>
      </c>
      <c r="E634" s="8">
        <f>IF($C634="","",IFERROR(INDEX('Master Inventory'!$C:$C,MATCH($C634,'Master Inventory'!$A:$A,0)),""))</f>
        <v/>
      </c>
      <c r="F634" s="5" t="n"/>
      <c r="G634" s="5" t="n"/>
    </row>
    <row r="635">
      <c r="A635" s="5" t="n"/>
      <c r="B635" s="12" t="n"/>
      <c r="C635" s="5" t="n"/>
      <c r="D635" s="8">
        <f>IF($C635="","",IFERROR(INDEX('Master Inventory'!$B:$B,MATCH($C635,'Master Inventory'!$A:$A,0)),""))</f>
        <v/>
      </c>
      <c r="E635" s="8">
        <f>IF($C635="","",IFERROR(INDEX('Master Inventory'!$C:$C,MATCH($C635,'Master Inventory'!$A:$A,0)),""))</f>
        <v/>
      </c>
      <c r="F635" s="5" t="n"/>
      <c r="G635" s="5" t="n"/>
    </row>
    <row r="636">
      <c r="A636" s="5" t="n"/>
      <c r="B636" s="12" t="n"/>
      <c r="C636" s="5" t="n"/>
      <c r="D636" s="8">
        <f>IF($C636="","",IFERROR(INDEX('Master Inventory'!$B:$B,MATCH($C636,'Master Inventory'!$A:$A,0)),""))</f>
        <v/>
      </c>
      <c r="E636" s="8">
        <f>IF($C636="","",IFERROR(INDEX('Master Inventory'!$C:$C,MATCH($C636,'Master Inventory'!$A:$A,0)),""))</f>
        <v/>
      </c>
      <c r="F636" s="5" t="n"/>
      <c r="G636" s="5" t="n"/>
    </row>
    <row r="637">
      <c r="A637" s="5" t="n"/>
      <c r="B637" s="12" t="n"/>
      <c r="C637" s="5" t="n"/>
      <c r="D637" s="8">
        <f>IF($C637="","",IFERROR(INDEX('Master Inventory'!$B:$B,MATCH($C637,'Master Inventory'!$A:$A,0)),""))</f>
        <v/>
      </c>
      <c r="E637" s="8">
        <f>IF($C637="","",IFERROR(INDEX('Master Inventory'!$C:$C,MATCH($C637,'Master Inventory'!$A:$A,0)),""))</f>
        <v/>
      </c>
      <c r="F637" s="5" t="n"/>
      <c r="G637" s="5" t="n"/>
    </row>
    <row r="638">
      <c r="A638" s="5" t="n"/>
      <c r="B638" s="12" t="n"/>
      <c r="C638" s="5" t="n"/>
      <c r="D638" s="8">
        <f>IF($C638="","",IFERROR(INDEX('Master Inventory'!$B:$B,MATCH($C638,'Master Inventory'!$A:$A,0)),""))</f>
        <v/>
      </c>
      <c r="E638" s="8">
        <f>IF($C638="","",IFERROR(INDEX('Master Inventory'!$C:$C,MATCH($C638,'Master Inventory'!$A:$A,0)),""))</f>
        <v/>
      </c>
      <c r="F638" s="5" t="n"/>
      <c r="G638" s="5" t="n"/>
    </row>
    <row r="639">
      <c r="A639" s="5" t="n"/>
      <c r="B639" s="12" t="n"/>
      <c r="C639" s="5" t="n"/>
      <c r="D639" s="8">
        <f>IF($C639="","",IFERROR(INDEX('Master Inventory'!$B:$B,MATCH($C639,'Master Inventory'!$A:$A,0)),""))</f>
        <v/>
      </c>
      <c r="E639" s="8">
        <f>IF($C639="","",IFERROR(INDEX('Master Inventory'!$C:$C,MATCH($C639,'Master Inventory'!$A:$A,0)),""))</f>
        <v/>
      </c>
      <c r="F639" s="5" t="n"/>
      <c r="G639" s="5" t="n"/>
    </row>
    <row r="640">
      <c r="A640" s="5" t="n"/>
      <c r="B640" s="12" t="n"/>
      <c r="C640" s="5" t="n"/>
      <c r="D640" s="8">
        <f>IF($C640="","",IFERROR(INDEX('Master Inventory'!$B:$B,MATCH($C640,'Master Inventory'!$A:$A,0)),""))</f>
        <v/>
      </c>
      <c r="E640" s="8">
        <f>IF($C640="","",IFERROR(INDEX('Master Inventory'!$C:$C,MATCH($C640,'Master Inventory'!$A:$A,0)),""))</f>
        <v/>
      </c>
      <c r="F640" s="5" t="n"/>
      <c r="G640" s="5" t="n"/>
    </row>
    <row r="641">
      <c r="A641" s="5" t="n"/>
      <c r="B641" s="12" t="n"/>
      <c r="C641" s="5" t="n"/>
      <c r="D641" s="8">
        <f>IF($C641="","",IFERROR(INDEX('Master Inventory'!$B:$B,MATCH($C641,'Master Inventory'!$A:$A,0)),""))</f>
        <v/>
      </c>
      <c r="E641" s="8">
        <f>IF($C641="","",IFERROR(INDEX('Master Inventory'!$C:$C,MATCH($C641,'Master Inventory'!$A:$A,0)),""))</f>
        <v/>
      </c>
      <c r="F641" s="5" t="n"/>
      <c r="G641" s="5" t="n"/>
    </row>
    <row r="642">
      <c r="A642" s="5" t="n"/>
      <c r="B642" s="12" t="n"/>
      <c r="C642" s="5" t="n"/>
      <c r="D642" s="8">
        <f>IF($C642="","",IFERROR(INDEX('Master Inventory'!$B:$B,MATCH($C642,'Master Inventory'!$A:$A,0)),""))</f>
        <v/>
      </c>
      <c r="E642" s="8">
        <f>IF($C642="","",IFERROR(INDEX('Master Inventory'!$C:$C,MATCH($C642,'Master Inventory'!$A:$A,0)),""))</f>
        <v/>
      </c>
      <c r="F642" s="5" t="n"/>
      <c r="G642" s="5" t="n"/>
    </row>
    <row r="643">
      <c r="A643" s="5" t="n"/>
      <c r="B643" s="12" t="n"/>
      <c r="C643" s="5" t="n"/>
      <c r="D643" s="8">
        <f>IF($C643="","",IFERROR(INDEX('Master Inventory'!$B:$B,MATCH($C643,'Master Inventory'!$A:$A,0)),""))</f>
        <v/>
      </c>
      <c r="E643" s="8">
        <f>IF($C643="","",IFERROR(INDEX('Master Inventory'!$C:$C,MATCH($C643,'Master Inventory'!$A:$A,0)),""))</f>
        <v/>
      </c>
      <c r="F643" s="5" t="n"/>
      <c r="G643" s="5" t="n"/>
    </row>
    <row r="644">
      <c r="A644" s="5" t="n"/>
      <c r="B644" s="12" t="n"/>
      <c r="C644" s="5" t="n"/>
      <c r="D644" s="8">
        <f>IF($C644="","",IFERROR(INDEX('Master Inventory'!$B:$B,MATCH($C644,'Master Inventory'!$A:$A,0)),""))</f>
        <v/>
      </c>
      <c r="E644" s="8">
        <f>IF($C644="","",IFERROR(INDEX('Master Inventory'!$C:$C,MATCH($C644,'Master Inventory'!$A:$A,0)),""))</f>
        <v/>
      </c>
      <c r="F644" s="5" t="n"/>
      <c r="G644" s="5" t="n"/>
    </row>
    <row r="645">
      <c r="A645" s="5" t="n"/>
      <c r="B645" s="12" t="n"/>
      <c r="C645" s="5" t="n"/>
      <c r="D645" s="8">
        <f>IF($C645="","",IFERROR(INDEX('Master Inventory'!$B:$B,MATCH($C645,'Master Inventory'!$A:$A,0)),""))</f>
        <v/>
      </c>
      <c r="E645" s="8">
        <f>IF($C645="","",IFERROR(INDEX('Master Inventory'!$C:$C,MATCH($C645,'Master Inventory'!$A:$A,0)),""))</f>
        <v/>
      </c>
      <c r="F645" s="5" t="n"/>
      <c r="G645" s="5" t="n"/>
    </row>
    <row r="646">
      <c r="A646" s="5" t="n"/>
      <c r="B646" s="12" t="n"/>
      <c r="C646" s="5" t="n"/>
      <c r="D646" s="8">
        <f>IF($C646="","",IFERROR(INDEX('Master Inventory'!$B:$B,MATCH($C646,'Master Inventory'!$A:$A,0)),""))</f>
        <v/>
      </c>
      <c r="E646" s="8">
        <f>IF($C646="","",IFERROR(INDEX('Master Inventory'!$C:$C,MATCH($C646,'Master Inventory'!$A:$A,0)),""))</f>
        <v/>
      </c>
      <c r="F646" s="5" t="n"/>
      <c r="G646" s="5" t="n"/>
    </row>
    <row r="647">
      <c r="A647" s="5" t="n"/>
      <c r="B647" s="12" t="n"/>
      <c r="C647" s="5" t="n"/>
      <c r="D647" s="8">
        <f>IF($C647="","",IFERROR(INDEX('Master Inventory'!$B:$B,MATCH($C647,'Master Inventory'!$A:$A,0)),""))</f>
        <v/>
      </c>
      <c r="E647" s="8">
        <f>IF($C647="","",IFERROR(INDEX('Master Inventory'!$C:$C,MATCH($C647,'Master Inventory'!$A:$A,0)),""))</f>
        <v/>
      </c>
      <c r="F647" s="5" t="n"/>
      <c r="G647" s="5" t="n"/>
    </row>
    <row r="648">
      <c r="A648" s="5" t="n"/>
      <c r="B648" s="12" t="n"/>
      <c r="C648" s="5" t="n"/>
      <c r="D648" s="8">
        <f>IF($C648="","",IFERROR(INDEX('Master Inventory'!$B:$B,MATCH($C648,'Master Inventory'!$A:$A,0)),""))</f>
        <v/>
      </c>
      <c r="E648" s="8">
        <f>IF($C648="","",IFERROR(INDEX('Master Inventory'!$C:$C,MATCH($C648,'Master Inventory'!$A:$A,0)),""))</f>
        <v/>
      </c>
      <c r="F648" s="5" t="n"/>
      <c r="G648" s="5" t="n"/>
    </row>
    <row r="649">
      <c r="A649" s="5" t="n"/>
      <c r="B649" s="12" t="n"/>
      <c r="C649" s="5" t="n"/>
      <c r="D649" s="8">
        <f>IF($C649="","",IFERROR(INDEX('Master Inventory'!$B:$B,MATCH($C649,'Master Inventory'!$A:$A,0)),""))</f>
        <v/>
      </c>
      <c r="E649" s="8">
        <f>IF($C649="","",IFERROR(INDEX('Master Inventory'!$C:$C,MATCH($C649,'Master Inventory'!$A:$A,0)),""))</f>
        <v/>
      </c>
      <c r="F649" s="5" t="n"/>
      <c r="G649" s="5" t="n"/>
    </row>
    <row r="650">
      <c r="A650" s="5" t="n"/>
      <c r="B650" s="12" t="n"/>
      <c r="C650" s="5" t="n"/>
      <c r="D650" s="8">
        <f>IF($C650="","",IFERROR(INDEX('Master Inventory'!$B:$B,MATCH($C650,'Master Inventory'!$A:$A,0)),""))</f>
        <v/>
      </c>
      <c r="E650" s="8">
        <f>IF($C650="","",IFERROR(INDEX('Master Inventory'!$C:$C,MATCH($C650,'Master Inventory'!$A:$A,0)),""))</f>
        <v/>
      </c>
      <c r="F650" s="5" t="n"/>
      <c r="G650" s="5" t="n"/>
    </row>
    <row r="651">
      <c r="A651" s="5" t="n"/>
      <c r="B651" s="12" t="n"/>
      <c r="C651" s="5" t="n"/>
      <c r="D651" s="8">
        <f>IF($C651="","",IFERROR(INDEX('Master Inventory'!$B:$B,MATCH($C651,'Master Inventory'!$A:$A,0)),""))</f>
        <v/>
      </c>
      <c r="E651" s="8">
        <f>IF($C651="","",IFERROR(INDEX('Master Inventory'!$C:$C,MATCH($C651,'Master Inventory'!$A:$A,0)),""))</f>
        <v/>
      </c>
      <c r="F651" s="5" t="n"/>
      <c r="G651" s="5" t="n"/>
    </row>
    <row r="652">
      <c r="A652" s="5" t="n"/>
      <c r="B652" s="12" t="n"/>
      <c r="C652" s="5" t="n"/>
      <c r="D652" s="8">
        <f>IF($C652="","",IFERROR(INDEX('Master Inventory'!$B:$B,MATCH($C652,'Master Inventory'!$A:$A,0)),""))</f>
        <v/>
      </c>
      <c r="E652" s="8">
        <f>IF($C652="","",IFERROR(INDEX('Master Inventory'!$C:$C,MATCH($C652,'Master Inventory'!$A:$A,0)),""))</f>
        <v/>
      </c>
      <c r="F652" s="5" t="n"/>
      <c r="G652" s="5" t="n"/>
    </row>
    <row r="653">
      <c r="A653" s="5" t="n"/>
      <c r="B653" s="12" t="n"/>
      <c r="C653" s="5" t="n"/>
      <c r="D653" s="8">
        <f>IF($C653="","",IFERROR(INDEX('Master Inventory'!$B:$B,MATCH($C653,'Master Inventory'!$A:$A,0)),""))</f>
        <v/>
      </c>
      <c r="E653" s="8">
        <f>IF($C653="","",IFERROR(INDEX('Master Inventory'!$C:$C,MATCH($C653,'Master Inventory'!$A:$A,0)),""))</f>
        <v/>
      </c>
      <c r="F653" s="5" t="n"/>
      <c r="G653" s="5" t="n"/>
    </row>
    <row r="654">
      <c r="A654" s="5" t="n"/>
      <c r="B654" s="12" t="n"/>
      <c r="C654" s="5" t="n"/>
      <c r="D654" s="8">
        <f>IF($C654="","",IFERROR(INDEX('Master Inventory'!$B:$B,MATCH($C654,'Master Inventory'!$A:$A,0)),""))</f>
        <v/>
      </c>
      <c r="E654" s="8">
        <f>IF($C654="","",IFERROR(INDEX('Master Inventory'!$C:$C,MATCH($C654,'Master Inventory'!$A:$A,0)),""))</f>
        <v/>
      </c>
      <c r="F654" s="5" t="n"/>
      <c r="G654" s="5" t="n"/>
    </row>
    <row r="655">
      <c r="A655" s="5" t="n"/>
      <c r="B655" s="12" t="n"/>
      <c r="C655" s="5" t="n"/>
      <c r="D655" s="8">
        <f>IF($C655="","",IFERROR(INDEX('Master Inventory'!$B:$B,MATCH($C655,'Master Inventory'!$A:$A,0)),""))</f>
        <v/>
      </c>
      <c r="E655" s="8">
        <f>IF($C655="","",IFERROR(INDEX('Master Inventory'!$C:$C,MATCH($C655,'Master Inventory'!$A:$A,0)),""))</f>
        <v/>
      </c>
      <c r="F655" s="5" t="n"/>
      <c r="G655" s="5" t="n"/>
    </row>
    <row r="656">
      <c r="A656" s="5" t="n"/>
      <c r="B656" s="12" t="n"/>
      <c r="C656" s="5" t="n"/>
      <c r="D656" s="8">
        <f>IF($C656="","",IFERROR(INDEX('Master Inventory'!$B:$B,MATCH($C656,'Master Inventory'!$A:$A,0)),""))</f>
        <v/>
      </c>
      <c r="E656" s="8">
        <f>IF($C656="","",IFERROR(INDEX('Master Inventory'!$C:$C,MATCH($C656,'Master Inventory'!$A:$A,0)),""))</f>
        <v/>
      </c>
      <c r="F656" s="5" t="n"/>
      <c r="G656" s="5" t="n"/>
    </row>
    <row r="657">
      <c r="A657" s="5" t="n"/>
      <c r="B657" s="12" t="n"/>
      <c r="C657" s="5" t="n"/>
      <c r="D657" s="8">
        <f>IF($C657="","",IFERROR(INDEX('Master Inventory'!$B:$B,MATCH($C657,'Master Inventory'!$A:$A,0)),""))</f>
        <v/>
      </c>
      <c r="E657" s="8">
        <f>IF($C657="","",IFERROR(INDEX('Master Inventory'!$C:$C,MATCH($C657,'Master Inventory'!$A:$A,0)),""))</f>
        <v/>
      </c>
      <c r="F657" s="5" t="n"/>
      <c r="G657" s="5" t="n"/>
    </row>
    <row r="658">
      <c r="A658" s="5" t="n"/>
      <c r="B658" s="12" t="n"/>
      <c r="C658" s="5" t="n"/>
      <c r="D658" s="8">
        <f>IF($C658="","",IFERROR(INDEX('Master Inventory'!$B:$B,MATCH($C658,'Master Inventory'!$A:$A,0)),""))</f>
        <v/>
      </c>
      <c r="E658" s="8">
        <f>IF($C658="","",IFERROR(INDEX('Master Inventory'!$C:$C,MATCH($C658,'Master Inventory'!$A:$A,0)),""))</f>
        <v/>
      </c>
      <c r="F658" s="5" t="n"/>
      <c r="G658" s="5" t="n"/>
    </row>
    <row r="659">
      <c r="A659" s="5" t="n"/>
      <c r="B659" s="12" t="n"/>
      <c r="C659" s="5" t="n"/>
      <c r="D659" s="8">
        <f>IF($C659="","",IFERROR(INDEX('Master Inventory'!$B:$B,MATCH($C659,'Master Inventory'!$A:$A,0)),""))</f>
        <v/>
      </c>
      <c r="E659" s="8">
        <f>IF($C659="","",IFERROR(INDEX('Master Inventory'!$C:$C,MATCH($C659,'Master Inventory'!$A:$A,0)),""))</f>
        <v/>
      </c>
      <c r="F659" s="5" t="n"/>
      <c r="G659" s="5" t="n"/>
    </row>
    <row r="660">
      <c r="A660" s="5" t="n"/>
      <c r="B660" s="12" t="n"/>
      <c r="C660" s="5" t="n"/>
      <c r="D660" s="8">
        <f>IF($C660="","",IFERROR(INDEX('Master Inventory'!$B:$B,MATCH($C660,'Master Inventory'!$A:$A,0)),""))</f>
        <v/>
      </c>
      <c r="E660" s="8">
        <f>IF($C660="","",IFERROR(INDEX('Master Inventory'!$C:$C,MATCH($C660,'Master Inventory'!$A:$A,0)),""))</f>
        <v/>
      </c>
      <c r="F660" s="5" t="n"/>
      <c r="G660" s="5" t="n"/>
    </row>
    <row r="661">
      <c r="A661" s="5" t="n"/>
      <c r="B661" s="12" t="n"/>
      <c r="C661" s="5" t="n"/>
      <c r="D661" s="8">
        <f>IF($C661="","",IFERROR(INDEX('Master Inventory'!$B:$B,MATCH($C661,'Master Inventory'!$A:$A,0)),""))</f>
        <v/>
      </c>
      <c r="E661" s="8">
        <f>IF($C661="","",IFERROR(INDEX('Master Inventory'!$C:$C,MATCH($C661,'Master Inventory'!$A:$A,0)),""))</f>
        <v/>
      </c>
      <c r="F661" s="5" t="n"/>
      <c r="G661" s="5" t="n"/>
    </row>
    <row r="662">
      <c r="A662" s="5" t="n"/>
      <c r="B662" s="12" t="n"/>
      <c r="C662" s="5" t="n"/>
      <c r="D662" s="8">
        <f>IF($C662="","",IFERROR(INDEX('Master Inventory'!$B:$B,MATCH($C662,'Master Inventory'!$A:$A,0)),""))</f>
        <v/>
      </c>
      <c r="E662" s="8">
        <f>IF($C662="","",IFERROR(INDEX('Master Inventory'!$C:$C,MATCH($C662,'Master Inventory'!$A:$A,0)),""))</f>
        <v/>
      </c>
      <c r="F662" s="5" t="n"/>
      <c r="G662" s="5" t="n"/>
    </row>
    <row r="663">
      <c r="A663" s="5" t="n"/>
      <c r="B663" s="12" t="n"/>
      <c r="C663" s="5" t="n"/>
      <c r="D663" s="8">
        <f>IF($C663="","",IFERROR(INDEX('Master Inventory'!$B:$B,MATCH($C663,'Master Inventory'!$A:$A,0)),""))</f>
        <v/>
      </c>
      <c r="E663" s="8">
        <f>IF($C663="","",IFERROR(INDEX('Master Inventory'!$C:$C,MATCH($C663,'Master Inventory'!$A:$A,0)),""))</f>
        <v/>
      </c>
      <c r="F663" s="5" t="n"/>
      <c r="G663" s="5" t="n"/>
    </row>
    <row r="664">
      <c r="A664" s="5" t="n"/>
      <c r="B664" s="12" t="n"/>
      <c r="C664" s="5" t="n"/>
      <c r="D664" s="8">
        <f>IF($C664="","",IFERROR(INDEX('Master Inventory'!$B:$B,MATCH($C664,'Master Inventory'!$A:$A,0)),""))</f>
        <v/>
      </c>
      <c r="E664" s="8">
        <f>IF($C664="","",IFERROR(INDEX('Master Inventory'!$C:$C,MATCH($C664,'Master Inventory'!$A:$A,0)),""))</f>
        <v/>
      </c>
      <c r="F664" s="5" t="n"/>
      <c r="G664" s="5" t="n"/>
    </row>
    <row r="665">
      <c r="A665" s="5" t="n"/>
      <c r="B665" s="12" t="n"/>
      <c r="C665" s="5" t="n"/>
      <c r="D665" s="8">
        <f>IF($C665="","",IFERROR(INDEX('Master Inventory'!$B:$B,MATCH($C665,'Master Inventory'!$A:$A,0)),""))</f>
        <v/>
      </c>
      <c r="E665" s="8">
        <f>IF($C665="","",IFERROR(INDEX('Master Inventory'!$C:$C,MATCH($C665,'Master Inventory'!$A:$A,0)),""))</f>
        <v/>
      </c>
      <c r="F665" s="5" t="n"/>
      <c r="G665" s="5" t="n"/>
    </row>
    <row r="666">
      <c r="A666" s="5" t="n"/>
      <c r="B666" s="12" t="n"/>
      <c r="C666" s="5" t="n"/>
      <c r="D666" s="8">
        <f>IF($C666="","",IFERROR(INDEX('Master Inventory'!$B:$B,MATCH($C666,'Master Inventory'!$A:$A,0)),""))</f>
        <v/>
      </c>
      <c r="E666" s="8">
        <f>IF($C666="","",IFERROR(INDEX('Master Inventory'!$C:$C,MATCH($C666,'Master Inventory'!$A:$A,0)),""))</f>
        <v/>
      </c>
      <c r="F666" s="5" t="n"/>
      <c r="G666" s="5" t="n"/>
    </row>
    <row r="667">
      <c r="A667" s="5" t="n"/>
      <c r="B667" s="12" t="n"/>
      <c r="C667" s="5" t="n"/>
      <c r="D667" s="8">
        <f>IF($C667="","",IFERROR(INDEX('Master Inventory'!$B:$B,MATCH($C667,'Master Inventory'!$A:$A,0)),""))</f>
        <v/>
      </c>
      <c r="E667" s="8">
        <f>IF($C667="","",IFERROR(INDEX('Master Inventory'!$C:$C,MATCH($C667,'Master Inventory'!$A:$A,0)),""))</f>
        <v/>
      </c>
      <c r="F667" s="5" t="n"/>
      <c r="G667" s="5" t="n"/>
    </row>
    <row r="668">
      <c r="A668" s="5" t="n"/>
      <c r="B668" s="12" t="n"/>
      <c r="C668" s="5" t="n"/>
      <c r="D668" s="8">
        <f>IF($C668="","",IFERROR(INDEX('Master Inventory'!$B:$B,MATCH($C668,'Master Inventory'!$A:$A,0)),""))</f>
        <v/>
      </c>
      <c r="E668" s="8">
        <f>IF($C668="","",IFERROR(INDEX('Master Inventory'!$C:$C,MATCH($C668,'Master Inventory'!$A:$A,0)),""))</f>
        <v/>
      </c>
      <c r="F668" s="5" t="n"/>
      <c r="G668" s="5" t="n"/>
    </row>
    <row r="669">
      <c r="A669" s="5" t="n"/>
      <c r="B669" s="12" t="n"/>
      <c r="C669" s="5" t="n"/>
      <c r="D669" s="8">
        <f>IF($C669="","",IFERROR(INDEX('Master Inventory'!$B:$B,MATCH($C669,'Master Inventory'!$A:$A,0)),""))</f>
        <v/>
      </c>
      <c r="E669" s="8">
        <f>IF($C669="","",IFERROR(INDEX('Master Inventory'!$C:$C,MATCH($C669,'Master Inventory'!$A:$A,0)),""))</f>
        <v/>
      </c>
      <c r="F669" s="5" t="n"/>
      <c r="G669" s="5" t="n"/>
    </row>
    <row r="670">
      <c r="A670" s="5" t="n"/>
      <c r="B670" s="12" t="n"/>
      <c r="C670" s="5" t="n"/>
      <c r="D670" s="8">
        <f>IF($C670="","",IFERROR(INDEX('Master Inventory'!$B:$B,MATCH($C670,'Master Inventory'!$A:$A,0)),""))</f>
        <v/>
      </c>
      <c r="E670" s="8">
        <f>IF($C670="","",IFERROR(INDEX('Master Inventory'!$C:$C,MATCH($C670,'Master Inventory'!$A:$A,0)),""))</f>
        <v/>
      </c>
      <c r="F670" s="5" t="n"/>
      <c r="G670" s="5" t="n"/>
    </row>
    <row r="671">
      <c r="A671" s="5" t="n"/>
      <c r="B671" s="12" t="n"/>
      <c r="C671" s="5" t="n"/>
      <c r="D671" s="8">
        <f>IF($C671="","",IFERROR(INDEX('Master Inventory'!$B:$B,MATCH($C671,'Master Inventory'!$A:$A,0)),""))</f>
        <v/>
      </c>
      <c r="E671" s="8">
        <f>IF($C671="","",IFERROR(INDEX('Master Inventory'!$C:$C,MATCH($C671,'Master Inventory'!$A:$A,0)),""))</f>
        <v/>
      </c>
      <c r="F671" s="5" t="n"/>
      <c r="G671" s="5" t="n"/>
    </row>
    <row r="672">
      <c r="A672" s="5" t="n"/>
      <c r="B672" s="12" t="n"/>
      <c r="C672" s="5" t="n"/>
      <c r="D672" s="8">
        <f>IF($C672="","",IFERROR(INDEX('Master Inventory'!$B:$B,MATCH($C672,'Master Inventory'!$A:$A,0)),""))</f>
        <v/>
      </c>
      <c r="E672" s="8">
        <f>IF($C672="","",IFERROR(INDEX('Master Inventory'!$C:$C,MATCH($C672,'Master Inventory'!$A:$A,0)),""))</f>
        <v/>
      </c>
      <c r="F672" s="5" t="n"/>
      <c r="G672" s="5" t="n"/>
    </row>
    <row r="673">
      <c r="A673" s="5" t="n"/>
      <c r="B673" s="12" t="n"/>
      <c r="C673" s="5" t="n"/>
      <c r="D673" s="8">
        <f>IF($C673="","",IFERROR(INDEX('Master Inventory'!$B:$B,MATCH($C673,'Master Inventory'!$A:$A,0)),""))</f>
        <v/>
      </c>
      <c r="E673" s="8">
        <f>IF($C673="","",IFERROR(INDEX('Master Inventory'!$C:$C,MATCH($C673,'Master Inventory'!$A:$A,0)),""))</f>
        <v/>
      </c>
      <c r="F673" s="5" t="n"/>
      <c r="G673" s="5" t="n"/>
    </row>
    <row r="674">
      <c r="A674" s="5" t="n"/>
      <c r="B674" s="12" t="n"/>
      <c r="C674" s="5" t="n"/>
      <c r="D674" s="8">
        <f>IF($C674="","",IFERROR(INDEX('Master Inventory'!$B:$B,MATCH($C674,'Master Inventory'!$A:$A,0)),""))</f>
        <v/>
      </c>
      <c r="E674" s="8">
        <f>IF($C674="","",IFERROR(INDEX('Master Inventory'!$C:$C,MATCH($C674,'Master Inventory'!$A:$A,0)),""))</f>
        <v/>
      </c>
      <c r="F674" s="5" t="n"/>
      <c r="G674" s="5" t="n"/>
    </row>
    <row r="675">
      <c r="A675" s="5" t="n"/>
      <c r="B675" s="12" t="n"/>
      <c r="C675" s="5" t="n"/>
      <c r="D675" s="8">
        <f>IF($C675="","",IFERROR(INDEX('Master Inventory'!$B:$B,MATCH($C675,'Master Inventory'!$A:$A,0)),""))</f>
        <v/>
      </c>
      <c r="E675" s="8">
        <f>IF($C675="","",IFERROR(INDEX('Master Inventory'!$C:$C,MATCH($C675,'Master Inventory'!$A:$A,0)),""))</f>
        <v/>
      </c>
      <c r="F675" s="5" t="n"/>
      <c r="G675" s="5" t="n"/>
    </row>
    <row r="676">
      <c r="A676" s="5" t="n"/>
      <c r="B676" s="12" t="n"/>
      <c r="C676" s="5" t="n"/>
      <c r="D676" s="8">
        <f>IF($C676="","",IFERROR(INDEX('Master Inventory'!$B:$B,MATCH($C676,'Master Inventory'!$A:$A,0)),""))</f>
        <v/>
      </c>
      <c r="E676" s="8">
        <f>IF($C676="","",IFERROR(INDEX('Master Inventory'!$C:$C,MATCH($C676,'Master Inventory'!$A:$A,0)),""))</f>
        <v/>
      </c>
      <c r="F676" s="5" t="n"/>
      <c r="G676" s="5" t="n"/>
    </row>
    <row r="677">
      <c r="A677" s="5" t="n"/>
      <c r="B677" s="12" t="n"/>
      <c r="C677" s="5" t="n"/>
      <c r="D677" s="8">
        <f>IF($C677="","",IFERROR(INDEX('Master Inventory'!$B:$B,MATCH($C677,'Master Inventory'!$A:$A,0)),""))</f>
        <v/>
      </c>
      <c r="E677" s="8">
        <f>IF($C677="","",IFERROR(INDEX('Master Inventory'!$C:$C,MATCH($C677,'Master Inventory'!$A:$A,0)),""))</f>
        <v/>
      </c>
      <c r="F677" s="5" t="n"/>
      <c r="G677" s="5" t="n"/>
    </row>
    <row r="678">
      <c r="A678" s="5" t="n"/>
      <c r="B678" s="12" t="n"/>
      <c r="C678" s="5" t="n"/>
      <c r="D678" s="8">
        <f>IF($C678="","",IFERROR(INDEX('Master Inventory'!$B:$B,MATCH($C678,'Master Inventory'!$A:$A,0)),""))</f>
        <v/>
      </c>
      <c r="E678" s="8">
        <f>IF($C678="","",IFERROR(INDEX('Master Inventory'!$C:$C,MATCH($C678,'Master Inventory'!$A:$A,0)),""))</f>
        <v/>
      </c>
      <c r="F678" s="5" t="n"/>
      <c r="G678" s="5" t="n"/>
    </row>
    <row r="679">
      <c r="A679" s="5" t="n"/>
      <c r="B679" s="12" t="n"/>
      <c r="C679" s="5" t="n"/>
      <c r="D679" s="8">
        <f>IF($C679="","",IFERROR(INDEX('Master Inventory'!$B:$B,MATCH($C679,'Master Inventory'!$A:$A,0)),""))</f>
        <v/>
      </c>
      <c r="E679" s="8">
        <f>IF($C679="","",IFERROR(INDEX('Master Inventory'!$C:$C,MATCH($C679,'Master Inventory'!$A:$A,0)),""))</f>
        <v/>
      </c>
      <c r="F679" s="5" t="n"/>
      <c r="G679" s="5" t="n"/>
    </row>
    <row r="680">
      <c r="A680" s="5" t="n"/>
      <c r="B680" s="12" t="n"/>
      <c r="C680" s="5" t="n"/>
      <c r="D680" s="8">
        <f>IF($C680="","",IFERROR(INDEX('Master Inventory'!$B:$B,MATCH($C680,'Master Inventory'!$A:$A,0)),""))</f>
        <v/>
      </c>
      <c r="E680" s="8">
        <f>IF($C680="","",IFERROR(INDEX('Master Inventory'!$C:$C,MATCH($C680,'Master Inventory'!$A:$A,0)),""))</f>
        <v/>
      </c>
      <c r="F680" s="5" t="n"/>
      <c r="G680" s="5" t="n"/>
    </row>
    <row r="681">
      <c r="A681" s="5" t="n"/>
      <c r="B681" s="12" t="n"/>
      <c r="C681" s="5" t="n"/>
      <c r="D681" s="8">
        <f>IF($C681="","",IFERROR(INDEX('Master Inventory'!$B:$B,MATCH($C681,'Master Inventory'!$A:$A,0)),""))</f>
        <v/>
      </c>
      <c r="E681" s="8">
        <f>IF($C681="","",IFERROR(INDEX('Master Inventory'!$C:$C,MATCH($C681,'Master Inventory'!$A:$A,0)),""))</f>
        <v/>
      </c>
      <c r="F681" s="5" t="n"/>
      <c r="G681" s="5" t="n"/>
    </row>
    <row r="682">
      <c r="A682" s="5" t="n"/>
      <c r="B682" s="12" t="n"/>
      <c r="C682" s="5" t="n"/>
      <c r="D682" s="8">
        <f>IF($C682="","",IFERROR(INDEX('Master Inventory'!$B:$B,MATCH($C682,'Master Inventory'!$A:$A,0)),""))</f>
        <v/>
      </c>
      <c r="E682" s="8">
        <f>IF($C682="","",IFERROR(INDEX('Master Inventory'!$C:$C,MATCH($C682,'Master Inventory'!$A:$A,0)),""))</f>
        <v/>
      </c>
      <c r="F682" s="5" t="n"/>
      <c r="G682" s="5" t="n"/>
    </row>
    <row r="683">
      <c r="A683" s="5" t="n"/>
      <c r="B683" s="12" t="n"/>
      <c r="C683" s="5" t="n"/>
      <c r="D683" s="8">
        <f>IF($C683="","",IFERROR(INDEX('Master Inventory'!$B:$B,MATCH($C683,'Master Inventory'!$A:$A,0)),""))</f>
        <v/>
      </c>
      <c r="E683" s="8">
        <f>IF($C683="","",IFERROR(INDEX('Master Inventory'!$C:$C,MATCH($C683,'Master Inventory'!$A:$A,0)),""))</f>
        <v/>
      </c>
      <c r="F683" s="5" t="n"/>
      <c r="G683" s="5" t="n"/>
    </row>
    <row r="684">
      <c r="A684" s="5" t="n"/>
      <c r="B684" s="12" t="n"/>
      <c r="C684" s="5" t="n"/>
      <c r="D684" s="8">
        <f>IF($C684="","",IFERROR(INDEX('Master Inventory'!$B:$B,MATCH($C684,'Master Inventory'!$A:$A,0)),""))</f>
        <v/>
      </c>
      <c r="E684" s="8">
        <f>IF($C684="","",IFERROR(INDEX('Master Inventory'!$C:$C,MATCH($C684,'Master Inventory'!$A:$A,0)),""))</f>
        <v/>
      </c>
      <c r="F684" s="5" t="n"/>
      <c r="G684" s="5" t="n"/>
    </row>
    <row r="685">
      <c r="A685" s="5" t="n"/>
      <c r="B685" s="12" t="n"/>
      <c r="C685" s="5" t="n"/>
      <c r="D685" s="8">
        <f>IF($C685="","",IFERROR(INDEX('Master Inventory'!$B:$B,MATCH($C685,'Master Inventory'!$A:$A,0)),""))</f>
        <v/>
      </c>
      <c r="E685" s="8">
        <f>IF($C685="","",IFERROR(INDEX('Master Inventory'!$C:$C,MATCH($C685,'Master Inventory'!$A:$A,0)),""))</f>
        <v/>
      </c>
      <c r="F685" s="5" t="n"/>
      <c r="G685" s="5" t="n"/>
    </row>
    <row r="686">
      <c r="A686" s="5" t="n"/>
      <c r="B686" s="12" t="n"/>
      <c r="C686" s="5" t="n"/>
      <c r="D686" s="8">
        <f>IF($C686="","",IFERROR(INDEX('Master Inventory'!$B:$B,MATCH($C686,'Master Inventory'!$A:$A,0)),""))</f>
        <v/>
      </c>
      <c r="E686" s="8">
        <f>IF($C686="","",IFERROR(INDEX('Master Inventory'!$C:$C,MATCH($C686,'Master Inventory'!$A:$A,0)),""))</f>
        <v/>
      </c>
      <c r="F686" s="5" t="n"/>
      <c r="G686" s="5" t="n"/>
    </row>
    <row r="687">
      <c r="A687" s="5" t="n"/>
      <c r="B687" s="12" t="n"/>
      <c r="C687" s="5" t="n"/>
      <c r="D687" s="8">
        <f>IF($C687="","",IFERROR(INDEX('Master Inventory'!$B:$B,MATCH($C687,'Master Inventory'!$A:$A,0)),""))</f>
        <v/>
      </c>
      <c r="E687" s="8">
        <f>IF($C687="","",IFERROR(INDEX('Master Inventory'!$C:$C,MATCH($C687,'Master Inventory'!$A:$A,0)),""))</f>
        <v/>
      </c>
      <c r="F687" s="5" t="n"/>
      <c r="G687" s="5" t="n"/>
    </row>
    <row r="688">
      <c r="A688" s="5" t="n"/>
      <c r="B688" s="12" t="n"/>
      <c r="C688" s="5" t="n"/>
      <c r="D688" s="8">
        <f>IF($C688="","",IFERROR(INDEX('Master Inventory'!$B:$B,MATCH($C688,'Master Inventory'!$A:$A,0)),""))</f>
        <v/>
      </c>
      <c r="E688" s="8">
        <f>IF($C688="","",IFERROR(INDEX('Master Inventory'!$C:$C,MATCH($C688,'Master Inventory'!$A:$A,0)),""))</f>
        <v/>
      </c>
      <c r="F688" s="5" t="n"/>
      <c r="G688" s="5" t="n"/>
    </row>
    <row r="689">
      <c r="A689" s="5" t="n"/>
      <c r="B689" s="12" t="n"/>
      <c r="C689" s="5" t="n"/>
      <c r="D689" s="8">
        <f>IF($C689="","",IFERROR(INDEX('Master Inventory'!$B:$B,MATCH($C689,'Master Inventory'!$A:$A,0)),""))</f>
        <v/>
      </c>
      <c r="E689" s="8">
        <f>IF($C689="","",IFERROR(INDEX('Master Inventory'!$C:$C,MATCH($C689,'Master Inventory'!$A:$A,0)),""))</f>
        <v/>
      </c>
      <c r="F689" s="5" t="n"/>
      <c r="G689" s="5" t="n"/>
    </row>
    <row r="690">
      <c r="A690" s="5" t="n"/>
      <c r="B690" s="12" t="n"/>
      <c r="C690" s="5" t="n"/>
      <c r="D690" s="8">
        <f>IF($C690="","",IFERROR(INDEX('Master Inventory'!$B:$B,MATCH($C690,'Master Inventory'!$A:$A,0)),""))</f>
        <v/>
      </c>
      <c r="E690" s="8">
        <f>IF($C690="","",IFERROR(INDEX('Master Inventory'!$C:$C,MATCH($C690,'Master Inventory'!$A:$A,0)),""))</f>
        <v/>
      </c>
      <c r="F690" s="5" t="n"/>
      <c r="G690" s="5" t="n"/>
    </row>
    <row r="691">
      <c r="A691" s="5" t="n"/>
      <c r="B691" s="12" t="n"/>
      <c r="C691" s="5" t="n"/>
      <c r="D691" s="8">
        <f>IF($C691="","",IFERROR(INDEX('Master Inventory'!$B:$B,MATCH($C691,'Master Inventory'!$A:$A,0)),""))</f>
        <v/>
      </c>
      <c r="E691" s="8">
        <f>IF($C691="","",IFERROR(INDEX('Master Inventory'!$C:$C,MATCH($C691,'Master Inventory'!$A:$A,0)),""))</f>
        <v/>
      </c>
      <c r="F691" s="5" t="n"/>
      <c r="G691" s="5" t="n"/>
    </row>
    <row r="692">
      <c r="A692" s="5" t="n"/>
      <c r="B692" s="12" t="n"/>
      <c r="C692" s="5" t="n"/>
      <c r="D692" s="8">
        <f>IF($C692="","",IFERROR(INDEX('Master Inventory'!$B:$B,MATCH($C692,'Master Inventory'!$A:$A,0)),""))</f>
        <v/>
      </c>
      <c r="E692" s="8">
        <f>IF($C692="","",IFERROR(INDEX('Master Inventory'!$C:$C,MATCH($C692,'Master Inventory'!$A:$A,0)),""))</f>
        <v/>
      </c>
      <c r="F692" s="5" t="n"/>
      <c r="G692" s="5" t="n"/>
    </row>
    <row r="693">
      <c r="A693" s="5" t="n"/>
      <c r="B693" s="12" t="n"/>
      <c r="C693" s="5" t="n"/>
      <c r="D693" s="8">
        <f>IF($C693="","",IFERROR(INDEX('Master Inventory'!$B:$B,MATCH($C693,'Master Inventory'!$A:$A,0)),""))</f>
        <v/>
      </c>
      <c r="E693" s="8">
        <f>IF($C693="","",IFERROR(INDEX('Master Inventory'!$C:$C,MATCH($C693,'Master Inventory'!$A:$A,0)),""))</f>
        <v/>
      </c>
      <c r="F693" s="5" t="n"/>
      <c r="G693" s="5" t="n"/>
    </row>
    <row r="694">
      <c r="A694" s="5" t="n"/>
      <c r="B694" s="12" t="n"/>
      <c r="C694" s="5" t="n"/>
      <c r="D694" s="8">
        <f>IF($C694="","",IFERROR(INDEX('Master Inventory'!$B:$B,MATCH($C694,'Master Inventory'!$A:$A,0)),""))</f>
        <v/>
      </c>
      <c r="E694" s="8">
        <f>IF($C694="","",IFERROR(INDEX('Master Inventory'!$C:$C,MATCH($C694,'Master Inventory'!$A:$A,0)),""))</f>
        <v/>
      </c>
      <c r="F694" s="5" t="n"/>
      <c r="G694" s="5" t="n"/>
    </row>
    <row r="695">
      <c r="A695" s="5" t="n"/>
      <c r="B695" s="12" t="n"/>
      <c r="C695" s="5" t="n"/>
      <c r="D695" s="8">
        <f>IF($C695="","",IFERROR(INDEX('Master Inventory'!$B:$B,MATCH($C695,'Master Inventory'!$A:$A,0)),""))</f>
        <v/>
      </c>
      <c r="E695" s="8">
        <f>IF($C695="","",IFERROR(INDEX('Master Inventory'!$C:$C,MATCH($C695,'Master Inventory'!$A:$A,0)),""))</f>
        <v/>
      </c>
      <c r="F695" s="5" t="n"/>
      <c r="G695" s="5" t="n"/>
    </row>
    <row r="696">
      <c r="A696" s="5" t="n"/>
      <c r="B696" s="12" t="n"/>
      <c r="C696" s="5" t="n"/>
      <c r="D696" s="8">
        <f>IF($C696="","",IFERROR(INDEX('Master Inventory'!$B:$B,MATCH($C696,'Master Inventory'!$A:$A,0)),""))</f>
        <v/>
      </c>
      <c r="E696" s="8">
        <f>IF($C696="","",IFERROR(INDEX('Master Inventory'!$C:$C,MATCH($C696,'Master Inventory'!$A:$A,0)),""))</f>
        <v/>
      </c>
      <c r="F696" s="5" t="n"/>
      <c r="G696" s="5" t="n"/>
    </row>
    <row r="697">
      <c r="A697" s="5" t="n"/>
      <c r="B697" s="12" t="n"/>
      <c r="C697" s="5" t="n"/>
      <c r="D697" s="8">
        <f>IF($C697="","",IFERROR(INDEX('Master Inventory'!$B:$B,MATCH($C697,'Master Inventory'!$A:$A,0)),""))</f>
        <v/>
      </c>
      <c r="E697" s="8">
        <f>IF($C697="","",IFERROR(INDEX('Master Inventory'!$C:$C,MATCH($C697,'Master Inventory'!$A:$A,0)),""))</f>
        <v/>
      </c>
      <c r="F697" s="5" t="n"/>
      <c r="G697" s="5" t="n"/>
    </row>
    <row r="698">
      <c r="A698" s="5" t="n"/>
      <c r="B698" s="12" t="n"/>
      <c r="C698" s="5" t="n"/>
      <c r="D698" s="8">
        <f>IF($C698="","",IFERROR(INDEX('Master Inventory'!$B:$B,MATCH($C698,'Master Inventory'!$A:$A,0)),""))</f>
        <v/>
      </c>
      <c r="E698" s="8">
        <f>IF($C698="","",IFERROR(INDEX('Master Inventory'!$C:$C,MATCH($C698,'Master Inventory'!$A:$A,0)),""))</f>
        <v/>
      </c>
      <c r="F698" s="5" t="n"/>
      <c r="G698" s="5" t="n"/>
    </row>
    <row r="699">
      <c r="A699" s="5" t="n"/>
      <c r="B699" s="12" t="n"/>
      <c r="C699" s="5" t="n"/>
      <c r="D699" s="8">
        <f>IF($C699="","",IFERROR(INDEX('Master Inventory'!$B:$B,MATCH($C699,'Master Inventory'!$A:$A,0)),""))</f>
        <v/>
      </c>
      <c r="E699" s="8">
        <f>IF($C699="","",IFERROR(INDEX('Master Inventory'!$C:$C,MATCH($C699,'Master Inventory'!$A:$A,0)),""))</f>
        <v/>
      </c>
      <c r="F699" s="5" t="n"/>
      <c r="G699" s="5" t="n"/>
    </row>
    <row r="700">
      <c r="A700" s="5" t="n"/>
      <c r="B700" s="12" t="n"/>
      <c r="C700" s="5" t="n"/>
      <c r="D700" s="8">
        <f>IF($C700="","",IFERROR(INDEX('Master Inventory'!$B:$B,MATCH($C700,'Master Inventory'!$A:$A,0)),""))</f>
        <v/>
      </c>
      <c r="E700" s="8">
        <f>IF($C700="","",IFERROR(INDEX('Master Inventory'!$C:$C,MATCH($C700,'Master Inventory'!$A:$A,0)),""))</f>
        <v/>
      </c>
      <c r="F700" s="5" t="n"/>
      <c r="G700" s="5" t="n"/>
    </row>
    <row r="701">
      <c r="A701" s="5" t="n"/>
      <c r="B701" s="12" t="n"/>
      <c r="C701" s="5" t="n"/>
      <c r="D701" s="8">
        <f>IF($C701="","",IFERROR(INDEX('Master Inventory'!$B:$B,MATCH($C701,'Master Inventory'!$A:$A,0)),""))</f>
        <v/>
      </c>
      <c r="E701" s="8">
        <f>IF($C701="","",IFERROR(INDEX('Master Inventory'!$C:$C,MATCH($C701,'Master Inventory'!$A:$A,0)),""))</f>
        <v/>
      </c>
      <c r="F701" s="5" t="n"/>
      <c r="G701" s="5" t="n"/>
    </row>
    <row r="702">
      <c r="A702" s="5" t="n"/>
      <c r="B702" s="12" t="n"/>
      <c r="C702" s="5" t="n"/>
      <c r="D702" s="8">
        <f>IF($C702="","",IFERROR(INDEX('Master Inventory'!$B:$B,MATCH($C702,'Master Inventory'!$A:$A,0)),""))</f>
        <v/>
      </c>
      <c r="E702" s="8">
        <f>IF($C702="","",IFERROR(INDEX('Master Inventory'!$C:$C,MATCH($C702,'Master Inventory'!$A:$A,0)),""))</f>
        <v/>
      </c>
      <c r="F702" s="5" t="n"/>
      <c r="G702" s="5" t="n"/>
    </row>
    <row r="703">
      <c r="A703" s="5" t="n"/>
      <c r="B703" s="12" t="n"/>
      <c r="C703" s="5" t="n"/>
      <c r="D703" s="8">
        <f>IF($C703="","",IFERROR(INDEX('Master Inventory'!$B:$B,MATCH($C703,'Master Inventory'!$A:$A,0)),""))</f>
        <v/>
      </c>
      <c r="E703" s="8">
        <f>IF($C703="","",IFERROR(INDEX('Master Inventory'!$C:$C,MATCH($C703,'Master Inventory'!$A:$A,0)),""))</f>
        <v/>
      </c>
      <c r="F703" s="5" t="n"/>
      <c r="G703" s="5" t="n"/>
    </row>
    <row r="704">
      <c r="A704" s="5" t="n"/>
      <c r="B704" s="12" t="n"/>
      <c r="C704" s="5" t="n"/>
      <c r="D704" s="8">
        <f>IF($C704="","",IFERROR(INDEX('Master Inventory'!$B:$B,MATCH($C704,'Master Inventory'!$A:$A,0)),""))</f>
        <v/>
      </c>
      <c r="E704" s="8">
        <f>IF($C704="","",IFERROR(INDEX('Master Inventory'!$C:$C,MATCH($C704,'Master Inventory'!$A:$A,0)),""))</f>
        <v/>
      </c>
      <c r="F704" s="5" t="n"/>
      <c r="G704" s="5" t="n"/>
    </row>
    <row r="705">
      <c r="A705" s="5" t="n"/>
      <c r="B705" s="12" t="n"/>
      <c r="C705" s="5" t="n"/>
      <c r="D705" s="8">
        <f>IF($C705="","",IFERROR(INDEX('Master Inventory'!$B:$B,MATCH($C705,'Master Inventory'!$A:$A,0)),""))</f>
        <v/>
      </c>
      <c r="E705" s="8">
        <f>IF($C705="","",IFERROR(INDEX('Master Inventory'!$C:$C,MATCH($C705,'Master Inventory'!$A:$A,0)),""))</f>
        <v/>
      </c>
      <c r="F705" s="5" t="n"/>
      <c r="G705" s="5" t="n"/>
    </row>
    <row r="706">
      <c r="A706" s="5" t="n"/>
      <c r="B706" s="12" t="n"/>
      <c r="C706" s="5" t="n"/>
      <c r="D706" s="8">
        <f>IF($C706="","",IFERROR(INDEX('Master Inventory'!$B:$B,MATCH($C706,'Master Inventory'!$A:$A,0)),""))</f>
        <v/>
      </c>
      <c r="E706" s="8">
        <f>IF($C706="","",IFERROR(INDEX('Master Inventory'!$C:$C,MATCH($C706,'Master Inventory'!$A:$A,0)),""))</f>
        <v/>
      </c>
      <c r="F706" s="5" t="n"/>
      <c r="G706" s="5" t="n"/>
    </row>
    <row r="707">
      <c r="A707" s="5" t="n"/>
      <c r="B707" s="12" t="n"/>
      <c r="C707" s="5" t="n"/>
      <c r="D707" s="8">
        <f>IF($C707="","",IFERROR(INDEX('Master Inventory'!$B:$B,MATCH($C707,'Master Inventory'!$A:$A,0)),""))</f>
        <v/>
      </c>
      <c r="E707" s="8">
        <f>IF($C707="","",IFERROR(INDEX('Master Inventory'!$C:$C,MATCH($C707,'Master Inventory'!$A:$A,0)),""))</f>
        <v/>
      </c>
      <c r="F707" s="5" t="n"/>
      <c r="G707" s="5" t="n"/>
    </row>
    <row r="708">
      <c r="A708" s="5" t="n"/>
      <c r="B708" s="12" t="n"/>
      <c r="C708" s="5" t="n"/>
      <c r="D708" s="8">
        <f>IF($C708="","",IFERROR(INDEX('Master Inventory'!$B:$B,MATCH($C708,'Master Inventory'!$A:$A,0)),""))</f>
        <v/>
      </c>
      <c r="E708" s="8">
        <f>IF($C708="","",IFERROR(INDEX('Master Inventory'!$C:$C,MATCH($C708,'Master Inventory'!$A:$A,0)),""))</f>
        <v/>
      </c>
      <c r="F708" s="5" t="n"/>
      <c r="G708" s="5" t="n"/>
    </row>
    <row r="709">
      <c r="A709" s="5" t="n"/>
      <c r="B709" s="12" t="n"/>
      <c r="C709" s="5" t="n"/>
      <c r="D709" s="8">
        <f>IF($C709="","",IFERROR(INDEX('Master Inventory'!$B:$B,MATCH($C709,'Master Inventory'!$A:$A,0)),""))</f>
        <v/>
      </c>
      <c r="E709" s="8">
        <f>IF($C709="","",IFERROR(INDEX('Master Inventory'!$C:$C,MATCH($C709,'Master Inventory'!$A:$A,0)),""))</f>
        <v/>
      </c>
      <c r="F709" s="5" t="n"/>
      <c r="G709" s="5" t="n"/>
    </row>
    <row r="710">
      <c r="A710" s="5" t="n"/>
      <c r="B710" s="12" t="n"/>
      <c r="C710" s="5" t="n"/>
      <c r="D710" s="8">
        <f>IF($C710="","",IFERROR(INDEX('Master Inventory'!$B:$B,MATCH($C710,'Master Inventory'!$A:$A,0)),""))</f>
        <v/>
      </c>
      <c r="E710" s="8">
        <f>IF($C710="","",IFERROR(INDEX('Master Inventory'!$C:$C,MATCH($C710,'Master Inventory'!$A:$A,0)),""))</f>
        <v/>
      </c>
      <c r="F710" s="5" t="n"/>
      <c r="G710" s="5" t="n"/>
    </row>
    <row r="711">
      <c r="A711" s="5" t="n"/>
      <c r="B711" s="12" t="n"/>
      <c r="C711" s="5" t="n"/>
      <c r="D711" s="8">
        <f>IF($C711="","",IFERROR(INDEX('Master Inventory'!$B:$B,MATCH($C711,'Master Inventory'!$A:$A,0)),""))</f>
        <v/>
      </c>
      <c r="E711" s="8">
        <f>IF($C711="","",IFERROR(INDEX('Master Inventory'!$C:$C,MATCH($C711,'Master Inventory'!$A:$A,0)),""))</f>
        <v/>
      </c>
      <c r="F711" s="5" t="n"/>
      <c r="G711" s="5" t="n"/>
    </row>
    <row r="712">
      <c r="A712" s="5" t="n"/>
      <c r="B712" s="12" t="n"/>
      <c r="C712" s="5" t="n"/>
      <c r="D712" s="8">
        <f>IF($C712="","",IFERROR(INDEX('Master Inventory'!$B:$B,MATCH($C712,'Master Inventory'!$A:$A,0)),""))</f>
        <v/>
      </c>
      <c r="E712" s="8">
        <f>IF($C712="","",IFERROR(INDEX('Master Inventory'!$C:$C,MATCH($C712,'Master Inventory'!$A:$A,0)),""))</f>
        <v/>
      </c>
      <c r="F712" s="5" t="n"/>
      <c r="G712" s="5" t="n"/>
    </row>
    <row r="713">
      <c r="A713" s="5" t="n"/>
      <c r="B713" s="12" t="n"/>
      <c r="C713" s="5" t="n"/>
      <c r="D713" s="8">
        <f>IF($C713="","",IFERROR(INDEX('Master Inventory'!$B:$B,MATCH($C713,'Master Inventory'!$A:$A,0)),""))</f>
        <v/>
      </c>
      <c r="E713" s="8">
        <f>IF($C713="","",IFERROR(INDEX('Master Inventory'!$C:$C,MATCH($C713,'Master Inventory'!$A:$A,0)),""))</f>
        <v/>
      </c>
      <c r="F713" s="5" t="n"/>
      <c r="G713" s="5" t="n"/>
    </row>
    <row r="714">
      <c r="A714" s="5" t="n"/>
      <c r="B714" s="12" t="n"/>
      <c r="C714" s="5" t="n"/>
      <c r="D714" s="8">
        <f>IF($C714="","",IFERROR(INDEX('Master Inventory'!$B:$B,MATCH($C714,'Master Inventory'!$A:$A,0)),""))</f>
        <v/>
      </c>
      <c r="E714" s="8">
        <f>IF($C714="","",IFERROR(INDEX('Master Inventory'!$C:$C,MATCH($C714,'Master Inventory'!$A:$A,0)),""))</f>
        <v/>
      </c>
      <c r="F714" s="5" t="n"/>
      <c r="G714" s="5" t="n"/>
    </row>
    <row r="715">
      <c r="A715" s="5" t="n"/>
      <c r="B715" s="12" t="n"/>
      <c r="C715" s="5" t="n"/>
      <c r="D715" s="8">
        <f>IF($C715="","",IFERROR(INDEX('Master Inventory'!$B:$B,MATCH($C715,'Master Inventory'!$A:$A,0)),""))</f>
        <v/>
      </c>
      <c r="E715" s="8">
        <f>IF($C715="","",IFERROR(INDEX('Master Inventory'!$C:$C,MATCH($C715,'Master Inventory'!$A:$A,0)),""))</f>
        <v/>
      </c>
      <c r="F715" s="5" t="n"/>
      <c r="G715" s="5" t="n"/>
    </row>
    <row r="716">
      <c r="A716" s="5" t="n"/>
      <c r="B716" s="12" t="n"/>
      <c r="C716" s="5" t="n"/>
      <c r="D716" s="8">
        <f>IF($C716="","",IFERROR(INDEX('Master Inventory'!$B:$B,MATCH($C716,'Master Inventory'!$A:$A,0)),""))</f>
        <v/>
      </c>
      <c r="E716" s="8">
        <f>IF($C716="","",IFERROR(INDEX('Master Inventory'!$C:$C,MATCH($C716,'Master Inventory'!$A:$A,0)),""))</f>
        <v/>
      </c>
      <c r="F716" s="5" t="n"/>
      <c r="G716" s="5" t="n"/>
    </row>
    <row r="717">
      <c r="A717" s="5" t="n"/>
      <c r="B717" s="12" t="n"/>
      <c r="C717" s="5" t="n"/>
      <c r="D717" s="8">
        <f>IF($C717="","",IFERROR(INDEX('Master Inventory'!$B:$B,MATCH($C717,'Master Inventory'!$A:$A,0)),""))</f>
        <v/>
      </c>
      <c r="E717" s="8">
        <f>IF($C717="","",IFERROR(INDEX('Master Inventory'!$C:$C,MATCH($C717,'Master Inventory'!$A:$A,0)),""))</f>
        <v/>
      </c>
      <c r="F717" s="5" t="n"/>
      <c r="G717" s="5" t="n"/>
    </row>
    <row r="718">
      <c r="A718" s="5" t="n"/>
      <c r="B718" s="12" t="n"/>
      <c r="C718" s="5" t="n"/>
      <c r="D718" s="8">
        <f>IF($C718="","",IFERROR(INDEX('Master Inventory'!$B:$B,MATCH($C718,'Master Inventory'!$A:$A,0)),""))</f>
        <v/>
      </c>
      <c r="E718" s="8">
        <f>IF($C718="","",IFERROR(INDEX('Master Inventory'!$C:$C,MATCH($C718,'Master Inventory'!$A:$A,0)),""))</f>
        <v/>
      </c>
      <c r="F718" s="5" t="n"/>
      <c r="G718" s="5" t="n"/>
    </row>
    <row r="719">
      <c r="A719" s="5" t="n"/>
      <c r="B719" s="12" t="n"/>
      <c r="C719" s="5" t="n"/>
      <c r="D719" s="8">
        <f>IF($C719="","",IFERROR(INDEX('Master Inventory'!$B:$B,MATCH($C719,'Master Inventory'!$A:$A,0)),""))</f>
        <v/>
      </c>
      <c r="E719" s="8">
        <f>IF($C719="","",IFERROR(INDEX('Master Inventory'!$C:$C,MATCH($C719,'Master Inventory'!$A:$A,0)),""))</f>
        <v/>
      </c>
      <c r="F719" s="5" t="n"/>
      <c r="G719" s="5" t="n"/>
    </row>
    <row r="720">
      <c r="A720" s="5" t="n"/>
      <c r="B720" s="12" t="n"/>
      <c r="C720" s="5" t="n"/>
      <c r="D720" s="8">
        <f>IF($C720="","",IFERROR(INDEX('Master Inventory'!$B:$B,MATCH($C720,'Master Inventory'!$A:$A,0)),""))</f>
        <v/>
      </c>
      <c r="E720" s="8">
        <f>IF($C720="","",IFERROR(INDEX('Master Inventory'!$C:$C,MATCH($C720,'Master Inventory'!$A:$A,0)),""))</f>
        <v/>
      </c>
      <c r="F720" s="5" t="n"/>
      <c r="G720" s="5" t="n"/>
    </row>
    <row r="721">
      <c r="A721" s="5" t="n"/>
      <c r="B721" s="12" t="n"/>
      <c r="C721" s="5" t="n"/>
      <c r="D721" s="8">
        <f>IF($C721="","",IFERROR(INDEX('Master Inventory'!$B:$B,MATCH($C721,'Master Inventory'!$A:$A,0)),""))</f>
        <v/>
      </c>
      <c r="E721" s="8">
        <f>IF($C721="","",IFERROR(INDEX('Master Inventory'!$C:$C,MATCH($C721,'Master Inventory'!$A:$A,0)),""))</f>
        <v/>
      </c>
      <c r="F721" s="5" t="n"/>
      <c r="G721" s="5" t="n"/>
    </row>
    <row r="722">
      <c r="A722" s="5" t="n"/>
      <c r="B722" s="12" t="n"/>
      <c r="C722" s="5" t="n"/>
      <c r="D722" s="8">
        <f>IF($C722="","",IFERROR(INDEX('Master Inventory'!$B:$B,MATCH($C722,'Master Inventory'!$A:$A,0)),""))</f>
        <v/>
      </c>
      <c r="E722" s="8">
        <f>IF($C722="","",IFERROR(INDEX('Master Inventory'!$C:$C,MATCH($C722,'Master Inventory'!$A:$A,0)),""))</f>
        <v/>
      </c>
      <c r="F722" s="5" t="n"/>
      <c r="G722" s="5" t="n"/>
    </row>
    <row r="723">
      <c r="A723" s="5" t="n"/>
      <c r="B723" s="12" t="n"/>
      <c r="C723" s="5" t="n"/>
      <c r="D723" s="8">
        <f>IF($C723="","",IFERROR(INDEX('Master Inventory'!$B:$B,MATCH($C723,'Master Inventory'!$A:$A,0)),""))</f>
        <v/>
      </c>
      <c r="E723" s="8">
        <f>IF($C723="","",IFERROR(INDEX('Master Inventory'!$C:$C,MATCH($C723,'Master Inventory'!$A:$A,0)),""))</f>
        <v/>
      </c>
      <c r="F723" s="5" t="n"/>
      <c r="G723" s="5" t="n"/>
    </row>
    <row r="724">
      <c r="A724" s="5" t="n"/>
      <c r="B724" s="12" t="n"/>
      <c r="C724" s="5" t="n"/>
      <c r="D724" s="8">
        <f>IF($C724="","",IFERROR(INDEX('Master Inventory'!$B:$B,MATCH($C724,'Master Inventory'!$A:$A,0)),""))</f>
        <v/>
      </c>
      <c r="E724" s="8">
        <f>IF($C724="","",IFERROR(INDEX('Master Inventory'!$C:$C,MATCH($C724,'Master Inventory'!$A:$A,0)),""))</f>
        <v/>
      </c>
      <c r="F724" s="5" t="n"/>
      <c r="G724" s="5" t="n"/>
    </row>
    <row r="725">
      <c r="A725" s="5" t="n"/>
      <c r="B725" s="12" t="n"/>
      <c r="C725" s="5" t="n"/>
      <c r="D725" s="8">
        <f>IF($C725="","",IFERROR(INDEX('Master Inventory'!$B:$B,MATCH($C725,'Master Inventory'!$A:$A,0)),""))</f>
        <v/>
      </c>
      <c r="E725" s="8">
        <f>IF($C725="","",IFERROR(INDEX('Master Inventory'!$C:$C,MATCH($C725,'Master Inventory'!$A:$A,0)),""))</f>
        <v/>
      </c>
      <c r="F725" s="5" t="n"/>
      <c r="G725" s="5" t="n"/>
    </row>
    <row r="726">
      <c r="A726" s="5" t="n"/>
      <c r="B726" s="12" t="n"/>
      <c r="C726" s="5" t="n"/>
      <c r="D726" s="8">
        <f>IF($C726="","",IFERROR(INDEX('Master Inventory'!$B:$B,MATCH($C726,'Master Inventory'!$A:$A,0)),""))</f>
        <v/>
      </c>
      <c r="E726" s="8">
        <f>IF($C726="","",IFERROR(INDEX('Master Inventory'!$C:$C,MATCH($C726,'Master Inventory'!$A:$A,0)),""))</f>
        <v/>
      </c>
      <c r="F726" s="5" t="n"/>
      <c r="G726" s="5" t="n"/>
    </row>
    <row r="727">
      <c r="A727" s="5" t="n"/>
      <c r="B727" s="12" t="n"/>
      <c r="C727" s="5" t="n"/>
      <c r="D727" s="8">
        <f>IF($C727="","",IFERROR(INDEX('Master Inventory'!$B:$B,MATCH($C727,'Master Inventory'!$A:$A,0)),""))</f>
        <v/>
      </c>
      <c r="E727" s="8">
        <f>IF($C727="","",IFERROR(INDEX('Master Inventory'!$C:$C,MATCH($C727,'Master Inventory'!$A:$A,0)),""))</f>
        <v/>
      </c>
      <c r="F727" s="5" t="n"/>
      <c r="G727" s="5" t="n"/>
    </row>
    <row r="728">
      <c r="A728" s="5" t="n"/>
      <c r="B728" s="12" t="n"/>
      <c r="C728" s="5" t="n"/>
      <c r="D728" s="8">
        <f>IF($C728="","",IFERROR(INDEX('Master Inventory'!$B:$B,MATCH($C728,'Master Inventory'!$A:$A,0)),""))</f>
        <v/>
      </c>
      <c r="E728" s="8">
        <f>IF($C728="","",IFERROR(INDEX('Master Inventory'!$C:$C,MATCH($C728,'Master Inventory'!$A:$A,0)),""))</f>
        <v/>
      </c>
      <c r="F728" s="5" t="n"/>
      <c r="G728" s="5" t="n"/>
    </row>
    <row r="729">
      <c r="A729" s="5" t="n"/>
      <c r="B729" s="12" t="n"/>
      <c r="C729" s="5" t="n"/>
      <c r="D729" s="8">
        <f>IF($C729="","",IFERROR(INDEX('Master Inventory'!$B:$B,MATCH($C729,'Master Inventory'!$A:$A,0)),""))</f>
        <v/>
      </c>
      <c r="E729" s="8">
        <f>IF($C729="","",IFERROR(INDEX('Master Inventory'!$C:$C,MATCH($C729,'Master Inventory'!$A:$A,0)),""))</f>
        <v/>
      </c>
      <c r="F729" s="5" t="n"/>
      <c r="G729" s="5" t="n"/>
    </row>
    <row r="730">
      <c r="A730" s="5" t="n"/>
      <c r="B730" s="12" t="n"/>
      <c r="C730" s="5" t="n"/>
      <c r="D730" s="8">
        <f>IF($C730="","",IFERROR(INDEX('Master Inventory'!$B:$B,MATCH($C730,'Master Inventory'!$A:$A,0)),""))</f>
        <v/>
      </c>
      <c r="E730" s="8">
        <f>IF($C730="","",IFERROR(INDEX('Master Inventory'!$C:$C,MATCH($C730,'Master Inventory'!$A:$A,0)),""))</f>
        <v/>
      </c>
      <c r="F730" s="5" t="n"/>
      <c r="G730" s="5" t="n"/>
    </row>
    <row r="731">
      <c r="A731" s="5" t="n"/>
      <c r="B731" s="12" t="n"/>
      <c r="C731" s="5" t="n"/>
      <c r="D731" s="8">
        <f>IF($C731="","",IFERROR(INDEX('Master Inventory'!$B:$B,MATCH($C731,'Master Inventory'!$A:$A,0)),""))</f>
        <v/>
      </c>
      <c r="E731" s="8">
        <f>IF($C731="","",IFERROR(INDEX('Master Inventory'!$C:$C,MATCH($C731,'Master Inventory'!$A:$A,0)),""))</f>
        <v/>
      </c>
      <c r="F731" s="5" t="n"/>
      <c r="G731" s="5" t="n"/>
    </row>
    <row r="732">
      <c r="A732" s="5" t="n"/>
      <c r="B732" s="12" t="n"/>
      <c r="C732" s="5" t="n"/>
      <c r="D732" s="8">
        <f>IF($C732="","",IFERROR(INDEX('Master Inventory'!$B:$B,MATCH($C732,'Master Inventory'!$A:$A,0)),""))</f>
        <v/>
      </c>
      <c r="E732" s="8">
        <f>IF($C732="","",IFERROR(INDEX('Master Inventory'!$C:$C,MATCH($C732,'Master Inventory'!$A:$A,0)),""))</f>
        <v/>
      </c>
      <c r="F732" s="5" t="n"/>
      <c r="G732" s="5" t="n"/>
    </row>
    <row r="733">
      <c r="A733" s="5" t="n"/>
      <c r="B733" s="12" t="n"/>
      <c r="C733" s="5" t="n"/>
      <c r="D733" s="8">
        <f>IF($C733="","",IFERROR(INDEX('Master Inventory'!$B:$B,MATCH($C733,'Master Inventory'!$A:$A,0)),""))</f>
        <v/>
      </c>
      <c r="E733" s="8">
        <f>IF($C733="","",IFERROR(INDEX('Master Inventory'!$C:$C,MATCH($C733,'Master Inventory'!$A:$A,0)),""))</f>
        <v/>
      </c>
      <c r="F733" s="5" t="n"/>
      <c r="G733" s="5" t="n"/>
    </row>
    <row r="734">
      <c r="A734" s="5" t="n"/>
      <c r="B734" s="12" t="n"/>
      <c r="C734" s="5" t="n"/>
      <c r="D734" s="8">
        <f>IF($C734="","",IFERROR(INDEX('Master Inventory'!$B:$B,MATCH($C734,'Master Inventory'!$A:$A,0)),""))</f>
        <v/>
      </c>
      <c r="E734" s="8">
        <f>IF($C734="","",IFERROR(INDEX('Master Inventory'!$C:$C,MATCH($C734,'Master Inventory'!$A:$A,0)),""))</f>
        <v/>
      </c>
      <c r="F734" s="5" t="n"/>
      <c r="G734" s="5" t="n"/>
    </row>
    <row r="735">
      <c r="A735" s="5" t="n"/>
      <c r="B735" s="12" t="n"/>
      <c r="C735" s="5" t="n"/>
      <c r="D735" s="8">
        <f>IF($C735="","",IFERROR(INDEX('Master Inventory'!$B:$B,MATCH($C735,'Master Inventory'!$A:$A,0)),""))</f>
        <v/>
      </c>
      <c r="E735" s="8">
        <f>IF($C735="","",IFERROR(INDEX('Master Inventory'!$C:$C,MATCH($C735,'Master Inventory'!$A:$A,0)),""))</f>
        <v/>
      </c>
      <c r="F735" s="5" t="n"/>
      <c r="G735" s="5" t="n"/>
    </row>
    <row r="736">
      <c r="A736" s="5" t="n"/>
      <c r="B736" s="12" t="n"/>
      <c r="C736" s="5" t="n"/>
      <c r="D736" s="8">
        <f>IF($C736="","",IFERROR(INDEX('Master Inventory'!$B:$B,MATCH($C736,'Master Inventory'!$A:$A,0)),""))</f>
        <v/>
      </c>
      <c r="E736" s="8">
        <f>IF($C736="","",IFERROR(INDEX('Master Inventory'!$C:$C,MATCH($C736,'Master Inventory'!$A:$A,0)),""))</f>
        <v/>
      </c>
      <c r="F736" s="5" t="n"/>
      <c r="G736" s="5" t="n"/>
    </row>
    <row r="737">
      <c r="A737" s="5" t="n"/>
      <c r="B737" s="12" t="n"/>
      <c r="C737" s="5" t="n"/>
      <c r="D737" s="8">
        <f>IF($C737="","",IFERROR(INDEX('Master Inventory'!$B:$B,MATCH($C737,'Master Inventory'!$A:$A,0)),""))</f>
        <v/>
      </c>
      <c r="E737" s="8">
        <f>IF($C737="","",IFERROR(INDEX('Master Inventory'!$C:$C,MATCH($C737,'Master Inventory'!$A:$A,0)),""))</f>
        <v/>
      </c>
      <c r="F737" s="5" t="n"/>
      <c r="G737" s="5" t="n"/>
    </row>
    <row r="738">
      <c r="A738" s="5" t="n"/>
      <c r="B738" s="12" t="n"/>
      <c r="C738" s="5" t="n"/>
      <c r="D738" s="8">
        <f>IF($C738="","",IFERROR(INDEX('Master Inventory'!$B:$B,MATCH($C738,'Master Inventory'!$A:$A,0)),""))</f>
        <v/>
      </c>
      <c r="E738" s="8">
        <f>IF($C738="","",IFERROR(INDEX('Master Inventory'!$C:$C,MATCH($C738,'Master Inventory'!$A:$A,0)),""))</f>
        <v/>
      </c>
      <c r="F738" s="5" t="n"/>
      <c r="G738" s="5" t="n"/>
    </row>
    <row r="739">
      <c r="A739" s="5" t="n"/>
      <c r="B739" s="12" t="n"/>
      <c r="C739" s="5" t="n"/>
      <c r="D739" s="8">
        <f>IF($C739="","",IFERROR(INDEX('Master Inventory'!$B:$B,MATCH($C739,'Master Inventory'!$A:$A,0)),""))</f>
        <v/>
      </c>
      <c r="E739" s="8">
        <f>IF($C739="","",IFERROR(INDEX('Master Inventory'!$C:$C,MATCH($C739,'Master Inventory'!$A:$A,0)),""))</f>
        <v/>
      </c>
      <c r="F739" s="5" t="n"/>
      <c r="G739" s="5" t="n"/>
    </row>
    <row r="740">
      <c r="A740" s="5" t="n"/>
      <c r="B740" s="12" t="n"/>
      <c r="C740" s="5" t="n"/>
      <c r="D740" s="8">
        <f>IF($C740="","",IFERROR(INDEX('Master Inventory'!$B:$B,MATCH($C740,'Master Inventory'!$A:$A,0)),""))</f>
        <v/>
      </c>
      <c r="E740" s="8">
        <f>IF($C740="","",IFERROR(INDEX('Master Inventory'!$C:$C,MATCH($C740,'Master Inventory'!$A:$A,0)),""))</f>
        <v/>
      </c>
      <c r="F740" s="5" t="n"/>
      <c r="G740" s="5" t="n"/>
    </row>
    <row r="741">
      <c r="A741" s="5" t="n"/>
      <c r="B741" s="12" t="n"/>
      <c r="C741" s="5" t="n"/>
      <c r="D741" s="8">
        <f>IF($C741="","",IFERROR(INDEX('Master Inventory'!$B:$B,MATCH($C741,'Master Inventory'!$A:$A,0)),""))</f>
        <v/>
      </c>
      <c r="E741" s="8">
        <f>IF($C741="","",IFERROR(INDEX('Master Inventory'!$C:$C,MATCH($C741,'Master Inventory'!$A:$A,0)),""))</f>
        <v/>
      </c>
      <c r="F741" s="5" t="n"/>
      <c r="G741" s="5" t="n"/>
    </row>
    <row r="742">
      <c r="A742" s="5" t="n"/>
      <c r="B742" s="12" t="n"/>
      <c r="C742" s="5" t="n"/>
      <c r="D742" s="8">
        <f>IF($C742="","",IFERROR(INDEX('Master Inventory'!$B:$B,MATCH($C742,'Master Inventory'!$A:$A,0)),""))</f>
        <v/>
      </c>
      <c r="E742" s="8">
        <f>IF($C742="","",IFERROR(INDEX('Master Inventory'!$C:$C,MATCH($C742,'Master Inventory'!$A:$A,0)),""))</f>
        <v/>
      </c>
      <c r="F742" s="5" t="n"/>
      <c r="G742" s="5" t="n"/>
    </row>
    <row r="743">
      <c r="A743" s="5" t="n"/>
      <c r="B743" s="12" t="n"/>
      <c r="C743" s="5" t="n"/>
      <c r="D743" s="8">
        <f>IF($C743="","",IFERROR(INDEX('Master Inventory'!$B:$B,MATCH($C743,'Master Inventory'!$A:$A,0)),""))</f>
        <v/>
      </c>
      <c r="E743" s="8">
        <f>IF($C743="","",IFERROR(INDEX('Master Inventory'!$C:$C,MATCH($C743,'Master Inventory'!$A:$A,0)),""))</f>
        <v/>
      </c>
      <c r="F743" s="5" t="n"/>
      <c r="G743" s="5" t="n"/>
    </row>
    <row r="744">
      <c r="A744" s="5" t="n"/>
      <c r="B744" s="12" t="n"/>
      <c r="C744" s="5" t="n"/>
      <c r="D744" s="8">
        <f>IF($C744="","",IFERROR(INDEX('Master Inventory'!$B:$B,MATCH($C744,'Master Inventory'!$A:$A,0)),""))</f>
        <v/>
      </c>
      <c r="E744" s="8">
        <f>IF($C744="","",IFERROR(INDEX('Master Inventory'!$C:$C,MATCH($C744,'Master Inventory'!$A:$A,0)),""))</f>
        <v/>
      </c>
      <c r="F744" s="5" t="n"/>
      <c r="G744" s="5" t="n"/>
    </row>
    <row r="745">
      <c r="A745" s="5" t="n"/>
      <c r="B745" s="12" t="n"/>
      <c r="C745" s="5" t="n"/>
      <c r="D745" s="8">
        <f>IF($C745="","",IFERROR(INDEX('Master Inventory'!$B:$B,MATCH($C745,'Master Inventory'!$A:$A,0)),""))</f>
        <v/>
      </c>
      <c r="E745" s="8">
        <f>IF($C745="","",IFERROR(INDEX('Master Inventory'!$C:$C,MATCH($C745,'Master Inventory'!$A:$A,0)),""))</f>
        <v/>
      </c>
      <c r="F745" s="5" t="n"/>
      <c r="G745" s="5" t="n"/>
    </row>
    <row r="746">
      <c r="A746" s="5" t="n"/>
      <c r="B746" s="12" t="n"/>
      <c r="C746" s="5" t="n"/>
      <c r="D746" s="8">
        <f>IF($C746="","",IFERROR(INDEX('Master Inventory'!$B:$B,MATCH($C746,'Master Inventory'!$A:$A,0)),""))</f>
        <v/>
      </c>
      <c r="E746" s="8">
        <f>IF($C746="","",IFERROR(INDEX('Master Inventory'!$C:$C,MATCH($C746,'Master Inventory'!$A:$A,0)),""))</f>
        <v/>
      </c>
      <c r="F746" s="5" t="n"/>
      <c r="G746" s="5" t="n"/>
    </row>
    <row r="747">
      <c r="A747" s="5" t="n"/>
      <c r="B747" s="12" t="n"/>
      <c r="C747" s="5" t="n"/>
      <c r="D747" s="8">
        <f>IF($C747="","",IFERROR(INDEX('Master Inventory'!$B:$B,MATCH($C747,'Master Inventory'!$A:$A,0)),""))</f>
        <v/>
      </c>
      <c r="E747" s="8">
        <f>IF($C747="","",IFERROR(INDEX('Master Inventory'!$C:$C,MATCH($C747,'Master Inventory'!$A:$A,0)),""))</f>
        <v/>
      </c>
      <c r="F747" s="5" t="n"/>
      <c r="G747" s="5" t="n"/>
    </row>
    <row r="748">
      <c r="A748" s="5" t="n"/>
      <c r="B748" s="12" t="n"/>
      <c r="C748" s="5" t="n"/>
      <c r="D748" s="8">
        <f>IF($C748="","",IFERROR(INDEX('Master Inventory'!$B:$B,MATCH($C748,'Master Inventory'!$A:$A,0)),""))</f>
        <v/>
      </c>
      <c r="E748" s="8">
        <f>IF($C748="","",IFERROR(INDEX('Master Inventory'!$C:$C,MATCH($C748,'Master Inventory'!$A:$A,0)),""))</f>
        <v/>
      </c>
      <c r="F748" s="5" t="n"/>
      <c r="G748" s="5" t="n"/>
    </row>
    <row r="749">
      <c r="A749" s="5" t="n"/>
      <c r="B749" s="12" t="n"/>
      <c r="C749" s="5" t="n"/>
      <c r="D749" s="8">
        <f>IF($C749="","",IFERROR(INDEX('Master Inventory'!$B:$B,MATCH($C749,'Master Inventory'!$A:$A,0)),""))</f>
        <v/>
      </c>
      <c r="E749" s="8">
        <f>IF($C749="","",IFERROR(INDEX('Master Inventory'!$C:$C,MATCH($C749,'Master Inventory'!$A:$A,0)),""))</f>
        <v/>
      </c>
      <c r="F749" s="5" t="n"/>
      <c r="G749" s="5" t="n"/>
    </row>
    <row r="750">
      <c r="A750" s="5" t="n"/>
      <c r="B750" s="12" t="n"/>
      <c r="C750" s="5" t="n"/>
      <c r="D750" s="8">
        <f>IF($C750="","",IFERROR(INDEX('Master Inventory'!$B:$B,MATCH($C750,'Master Inventory'!$A:$A,0)),""))</f>
        <v/>
      </c>
      <c r="E750" s="8">
        <f>IF($C750="","",IFERROR(INDEX('Master Inventory'!$C:$C,MATCH($C750,'Master Inventory'!$A:$A,0)),""))</f>
        <v/>
      </c>
      <c r="F750" s="5" t="n"/>
      <c r="G750" s="5" t="n"/>
    </row>
    <row r="751">
      <c r="A751" s="5" t="n"/>
      <c r="B751" s="12" t="n"/>
      <c r="C751" s="5" t="n"/>
      <c r="D751" s="8">
        <f>IF($C751="","",IFERROR(INDEX('Master Inventory'!$B:$B,MATCH($C751,'Master Inventory'!$A:$A,0)),""))</f>
        <v/>
      </c>
      <c r="E751" s="8">
        <f>IF($C751="","",IFERROR(INDEX('Master Inventory'!$C:$C,MATCH($C751,'Master Inventory'!$A:$A,0)),""))</f>
        <v/>
      </c>
      <c r="F751" s="5" t="n"/>
      <c r="G751" s="5" t="n"/>
    </row>
    <row r="752">
      <c r="A752" s="5" t="n"/>
      <c r="B752" s="12" t="n"/>
      <c r="C752" s="5" t="n"/>
      <c r="D752" s="8">
        <f>IF($C752="","",IFERROR(INDEX('Master Inventory'!$B:$B,MATCH($C752,'Master Inventory'!$A:$A,0)),""))</f>
        <v/>
      </c>
      <c r="E752" s="8">
        <f>IF($C752="","",IFERROR(INDEX('Master Inventory'!$C:$C,MATCH($C752,'Master Inventory'!$A:$A,0)),""))</f>
        <v/>
      </c>
      <c r="F752" s="5" t="n"/>
      <c r="G752" s="5" t="n"/>
    </row>
    <row r="753">
      <c r="A753" s="5" t="n"/>
      <c r="B753" s="12" t="n"/>
      <c r="C753" s="5" t="n"/>
      <c r="D753" s="8">
        <f>IF($C753="","",IFERROR(INDEX('Master Inventory'!$B:$B,MATCH($C753,'Master Inventory'!$A:$A,0)),""))</f>
        <v/>
      </c>
      <c r="E753" s="8">
        <f>IF($C753="","",IFERROR(INDEX('Master Inventory'!$C:$C,MATCH($C753,'Master Inventory'!$A:$A,0)),""))</f>
        <v/>
      </c>
      <c r="F753" s="5" t="n"/>
      <c r="G753" s="5" t="n"/>
    </row>
    <row r="754">
      <c r="A754" s="5" t="n"/>
      <c r="B754" s="12" t="n"/>
      <c r="C754" s="5" t="n"/>
      <c r="D754" s="8">
        <f>IF($C754="","",IFERROR(INDEX('Master Inventory'!$B:$B,MATCH($C754,'Master Inventory'!$A:$A,0)),""))</f>
        <v/>
      </c>
      <c r="E754" s="8">
        <f>IF($C754="","",IFERROR(INDEX('Master Inventory'!$C:$C,MATCH($C754,'Master Inventory'!$A:$A,0)),""))</f>
        <v/>
      </c>
      <c r="F754" s="5" t="n"/>
      <c r="G754" s="5" t="n"/>
    </row>
    <row r="755">
      <c r="A755" s="5" t="n"/>
      <c r="B755" s="12" t="n"/>
      <c r="C755" s="5" t="n"/>
      <c r="D755" s="8">
        <f>IF($C755="","",IFERROR(INDEX('Master Inventory'!$B:$B,MATCH($C755,'Master Inventory'!$A:$A,0)),""))</f>
        <v/>
      </c>
      <c r="E755" s="8">
        <f>IF($C755="","",IFERROR(INDEX('Master Inventory'!$C:$C,MATCH($C755,'Master Inventory'!$A:$A,0)),""))</f>
        <v/>
      </c>
      <c r="F755" s="5" t="n"/>
      <c r="G755" s="5" t="n"/>
    </row>
    <row r="756">
      <c r="A756" s="5" t="n"/>
      <c r="B756" s="12" t="n"/>
      <c r="C756" s="5" t="n"/>
      <c r="D756" s="8">
        <f>IF($C756="","",IFERROR(INDEX('Master Inventory'!$B:$B,MATCH($C756,'Master Inventory'!$A:$A,0)),""))</f>
        <v/>
      </c>
      <c r="E756" s="8">
        <f>IF($C756="","",IFERROR(INDEX('Master Inventory'!$C:$C,MATCH($C756,'Master Inventory'!$A:$A,0)),""))</f>
        <v/>
      </c>
      <c r="F756" s="5" t="n"/>
      <c r="G756" s="5" t="n"/>
    </row>
    <row r="757">
      <c r="A757" s="5" t="n"/>
      <c r="B757" s="12" t="n"/>
      <c r="C757" s="5" t="n"/>
      <c r="D757" s="8">
        <f>IF($C757="","",IFERROR(INDEX('Master Inventory'!$B:$B,MATCH($C757,'Master Inventory'!$A:$A,0)),""))</f>
        <v/>
      </c>
      <c r="E757" s="8">
        <f>IF($C757="","",IFERROR(INDEX('Master Inventory'!$C:$C,MATCH($C757,'Master Inventory'!$A:$A,0)),""))</f>
        <v/>
      </c>
      <c r="F757" s="5" t="n"/>
      <c r="G757" s="5" t="n"/>
    </row>
    <row r="758">
      <c r="A758" s="5" t="n"/>
      <c r="B758" s="12" t="n"/>
      <c r="C758" s="5" t="n"/>
      <c r="D758" s="8">
        <f>IF($C758="","",IFERROR(INDEX('Master Inventory'!$B:$B,MATCH($C758,'Master Inventory'!$A:$A,0)),""))</f>
        <v/>
      </c>
      <c r="E758" s="8">
        <f>IF($C758="","",IFERROR(INDEX('Master Inventory'!$C:$C,MATCH($C758,'Master Inventory'!$A:$A,0)),""))</f>
        <v/>
      </c>
      <c r="F758" s="5" t="n"/>
      <c r="G758" s="5" t="n"/>
    </row>
    <row r="759">
      <c r="A759" s="5" t="n"/>
      <c r="B759" s="12" t="n"/>
      <c r="C759" s="5" t="n"/>
      <c r="D759" s="8">
        <f>IF($C759="","",IFERROR(INDEX('Master Inventory'!$B:$B,MATCH($C759,'Master Inventory'!$A:$A,0)),""))</f>
        <v/>
      </c>
      <c r="E759" s="8">
        <f>IF($C759="","",IFERROR(INDEX('Master Inventory'!$C:$C,MATCH($C759,'Master Inventory'!$A:$A,0)),""))</f>
        <v/>
      </c>
      <c r="F759" s="5" t="n"/>
      <c r="G759" s="5" t="n"/>
    </row>
    <row r="760">
      <c r="A760" s="5" t="n"/>
      <c r="B760" s="12" t="n"/>
      <c r="C760" s="5" t="n"/>
      <c r="D760" s="8">
        <f>IF($C760="","",IFERROR(INDEX('Master Inventory'!$B:$B,MATCH($C760,'Master Inventory'!$A:$A,0)),""))</f>
        <v/>
      </c>
      <c r="E760" s="8">
        <f>IF($C760="","",IFERROR(INDEX('Master Inventory'!$C:$C,MATCH($C760,'Master Inventory'!$A:$A,0)),""))</f>
        <v/>
      </c>
      <c r="F760" s="5" t="n"/>
      <c r="G760" s="5" t="n"/>
    </row>
    <row r="761">
      <c r="A761" s="5" t="n"/>
      <c r="B761" s="12" t="n"/>
      <c r="C761" s="5" t="n"/>
      <c r="D761" s="8">
        <f>IF($C761="","",IFERROR(INDEX('Master Inventory'!$B:$B,MATCH($C761,'Master Inventory'!$A:$A,0)),""))</f>
        <v/>
      </c>
      <c r="E761" s="8">
        <f>IF($C761="","",IFERROR(INDEX('Master Inventory'!$C:$C,MATCH($C761,'Master Inventory'!$A:$A,0)),""))</f>
        <v/>
      </c>
      <c r="F761" s="5" t="n"/>
      <c r="G761" s="5" t="n"/>
    </row>
    <row r="762">
      <c r="A762" s="5" t="n"/>
      <c r="B762" s="12" t="n"/>
      <c r="C762" s="5" t="n"/>
      <c r="D762" s="8">
        <f>IF($C762="","",IFERROR(INDEX('Master Inventory'!$B:$B,MATCH($C762,'Master Inventory'!$A:$A,0)),""))</f>
        <v/>
      </c>
      <c r="E762" s="8">
        <f>IF($C762="","",IFERROR(INDEX('Master Inventory'!$C:$C,MATCH($C762,'Master Inventory'!$A:$A,0)),""))</f>
        <v/>
      </c>
      <c r="F762" s="5" t="n"/>
      <c r="G762" s="5" t="n"/>
    </row>
    <row r="763">
      <c r="A763" s="5" t="n"/>
      <c r="B763" s="12" t="n"/>
      <c r="C763" s="5" t="n"/>
      <c r="D763" s="8">
        <f>IF($C763="","",IFERROR(INDEX('Master Inventory'!$B:$B,MATCH($C763,'Master Inventory'!$A:$A,0)),""))</f>
        <v/>
      </c>
      <c r="E763" s="8">
        <f>IF($C763="","",IFERROR(INDEX('Master Inventory'!$C:$C,MATCH($C763,'Master Inventory'!$A:$A,0)),""))</f>
        <v/>
      </c>
      <c r="F763" s="5" t="n"/>
      <c r="G763" s="5" t="n"/>
    </row>
    <row r="764">
      <c r="A764" s="5" t="n"/>
      <c r="B764" s="12" t="n"/>
      <c r="C764" s="5" t="n"/>
      <c r="D764" s="8">
        <f>IF($C764="","",IFERROR(INDEX('Master Inventory'!$B:$B,MATCH($C764,'Master Inventory'!$A:$A,0)),""))</f>
        <v/>
      </c>
      <c r="E764" s="8">
        <f>IF($C764="","",IFERROR(INDEX('Master Inventory'!$C:$C,MATCH($C764,'Master Inventory'!$A:$A,0)),""))</f>
        <v/>
      </c>
      <c r="F764" s="5" t="n"/>
      <c r="G764" s="5" t="n"/>
    </row>
    <row r="765">
      <c r="A765" s="5" t="n"/>
      <c r="B765" s="12" t="n"/>
      <c r="C765" s="5" t="n"/>
      <c r="D765" s="8">
        <f>IF($C765="","",IFERROR(INDEX('Master Inventory'!$B:$B,MATCH($C765,'Master Inventory'!$A:$A,0)),""))</f>
        <v/>
      </c>
      <c r="E765" s="8">
        <f>IF($C765="","",IFERROR(INDEX('Master Inventory'!$C:$C,MATCH($C765,'Master Inventory'!$A:$A,0)),""))</f>
        <v/>
      </c>
      <c r="F765" s="5" t="n"/>
      <c r="G765" s="5" t="n"/>
    </row>
    <row r="766">
      <c r="A766" s="5" t="n"/>
      <c r="B766" s="12" t="n"/>
      <c r="C766" s="5" t="n"/>
      <c r="D766" s="8">
        <f>IF($C766="","",IFERROR(INDEX('Master Inventory'!$B:$B,MATCH($C766,'Master Inventory'!$A:$A,0)),""))</f>
        <v/>
      </c>
      <c r="E766" s="8">
        <f>IF($C766="","",IFERROR(INDEX('Master Inventory'!$C:$C,MATCH($C766,'Master Inventory'!$A:$A,0)),""))</f>
        <v/>
      </c>
      <c r="F766" s="5" t="n"/>
      <c r="G766" s="5" t="n"/>
    </row>
    <row r="767">
      <c r="A767" s="5" t="n"/>
      <c r="B767" s="12" t="n"/>
      <c r="C767" s="5" t="n"/>
      <c r="D767" s="8">
        <f>IF($C767="","",IFERROR(INDEX('Master Inventory'!$B:$B,MATCH($C767,'Master Inventory'!$A:$A,0)),""))</f>
        <v/>
      </c>
      <c r="E767" s="8">
        <f>IF($C767="","",IFERROR(INDEX('Master Inventory'!$C:$C,MATCH($C767,'Master Inventory'!$A:$A,0)),""))</f>
        <v/>
      </c>
      <c r="F767" s="5" t="n"/>
      <c r="G767" s="5" t="n"/>
    </row>
    <row r="768">
      <c r="A768" s="5" t="n"/>
      <c r="B768" s="12" t="n"/>
      <c r="C768" s="5" t="n"/>
      <c r="D768" s="8">
        <f>IF($C768="","",IFERROR(INDEX('Master Inventory'!$B:$B,MATCH($C768,'Master Inventory'!$A:$A,0)),""))</f>
        <v/>
      </c>
      <c r="E768" s="8">
        <f>IF($C768="","",IFERROR(INDEX('Master Inventory'!$C:$C,MATCH($C768,'Master Inventory'!$A:$A,0)),""))</f>
        <v/>
      </c>
      <c r="F768" s="5" t="n"/>
      <c r="G768" s="5" t="n"/>
    </row>
    <row r="769">
      <c r="A769" s="5" t="n"/>
      <c r="B769" s="12" t="n"/>
      <c r="C769" s="5" t="n"/>
      <c r="D769" s="8">
        <f>IF($C769="","",IFERROR(INDEX('Master Inventory'!$B:$B,MATCH($C769,'Master Inventory'!$A:$A,0)),""))</f>
        <v/>
      </c>
      <c r="E769" s="8">
        <f>IF($C769="","",IFERROR(INDEX('Master Inventory'!$C:$C,MATCH($C769,'Master Inventory'!$A:$A,0)),""))</f>
        <v/>
      </c>
      <c r="F769" s="5" t="n"/>
      <c r="G769" s="5" t="n"/>
    </row>
    <row r="770">
      <c r="A770" s="5" t="n"/>
      <c r="B770" s="12" t="n"/>
      <c r="C770" s="5" t="n"/>
      <c r="D770" s="8">
        <f>IF($C770="","",IFERROR(INDEX('Master Inventory'!$B:$B,MATCH($C770,'Master Inventory'!$A:$A,0)),""))</f>
        <v/>
      </c>
      <c r="E770" s="8">
        <f>IF($C770="","",IFERROR(INDEX('Master Inventory'!$C:$C,MATCH($C770,'Master Inventory'!$A:$A,0)),""))</f>
        <v/>
      </c>
      <c r="F770" s="5" t="n"/>
      <c r="G770" s="5" t="n"/>
    </row>
    <row r="771">
      <c r="A771" s="5" t="n"/>
      <c r="B771" s="12" t="n"/>
      <c r="C771" s="5" t="n"/>
      <c r="D771" s="8">
        <f>IF($C771="","",IFERROR(INDEX('Master Inventory'!$B:$B,MATCH($C771,'Master Inventory'!$A:$A,0)),""))</f>
        <v/>
      </c>
      <c r="E771" s="8">
        <f>IF($C771="","",IFERROR(INDEX('Master Inventory'!$C:$C,MATCH($C771,'Master Inventory'!$A:$A,0)),""))</f>
        <v/>
      </c>
      <c r="F771" s="5" t="n"/>
      <c r="G771" s="5" t="n"/>
    </row>
    <row r="772">
      <c r="A772" s="5" t="n"/>
      <c r="B772" s="12" t="n"/>
      <c r="C772" s="5" t="n"/>
      <c r="D772" s="8">
        <f>IF($C772="","",IFERROR(INDEX('Master Inventory'!$B:$B,MATCH($C772,'Master Inventory'!$A:$A,0)),""))</f>
        <v/>
      </c>
      <c r="E772" s="8">
        <f>IF($C772="","",IFERROR(INDEX('Master Inventory'!$C:$C,MATCH($C772,'Master Inventory'!$A:$A,0)),""))</f>
        <v/>
      </c>
      <c r="F772" s="5" t="n"/>
      <c r="G772" s="5" t="n"/>
    </row>
    <row r="773">
      <c r="A773" s="5" t="n"/>
      <c r="B773" s="12" t="n"/>
      <c r="C773" s="5" t="n"/>
      <c r="D773" s="8">
        <f>IF($C773="","",IFERROR(INDEX('Master Inventory'!$B:$B,MATCH($C773,'Master Inventory'!$A:$A,0)),""))</f>
        <v/>
      </c>
      <c r="E773" s="8">
        <f>IF($C773="","",IFERROR(INDEX('Master Inventory'!$C:$C,MATCH($C773,'Master Inventory'!$A:$A,0)),""))</f>
        <v/>
      </c>
      <c r="F773" s="5" t="n"/>
      <c r="G773" s="5" t="n"/>
    </row>
    <row r="774">
      <c r="A774" s="5" t="n"/>
      <c r="B774" s="12" t="n"/>
      <c r="C774" s="5" t="n"/>
      <c r="D774" s="8">
        <f>IF($C774="","",IFERROR(INDEX('Master Inventory'!$B:$B,MATCH($C774,'Master Inventory'!$A:$A,0)),""))</f>
        <v/>
      </c>
      <c r="E774" s="8">
        <f>IF($C774="","",IFERROR(INDEX('Master Inventory'!$C:$C,MATCH($C774,'Master Inventory'!$A:$A,0)),""))</f>
        <v/>
      </c>
      <c r="F774" s="5" t="n"/>
      <c r="G774" s="5" t="n"/>
    </row>
    <row r="775">
      <c r="A775" s="5" t="n"/>
      <c r="B775" s="12" t="n"/>
      <c r="C775" s="5" t="n"/>
      <c r="D775" s="8">
        <f>IF($C775="","",IFERROR(INDEX('Master Inventory'!$B:$B,MATCH($C775,'Master Inventory'!$A:$A,0)),""))</f>
        <v/>
      </c>
      <c r="E775" s="8">
        <f>IF($C775="","",IFERROR(INDEX('Master Inventory'!$C:$C,MATCH($C775,'Master Inventory'!$A:$A,0)),""))</f>
        <v/>
      </c>
      <c r="F775" s="5" t="n"/>
      <c r="G775" s="5" t="n"/>
    </row>
    <row r="776">
      <c r="A776" s="5" t="n"/>
      <c r="B776" s="12" t="n"/>
      <c r="C776" s="5" t="n"/>
      <c r="D776" s="8">
        <f>IF($C776="","",IFERROR(INDEX('Master Inventory'!$B:$B,MATCH($C776,'Master Inventory'!$A:$A,0)),""))</f>
        <v/>
      </c>
      <c r="E776" s="8">
        <f>IF($C776="","",IFERROR(INDEX('Master Inventory'!$C:$C,MATCH($C776,'Master Inventory'!$A:$A,0)),""))</f>
        <v/>
      </c>
      <c r="F776" s="5" t="n"/>
      <c r="G776" s="5" t="n"/>
    </row>
    <row r="777">
      <c r="A777" s="5" t="n"/>
      <c r="B777" s="12" t="n"/>
      <c r="C777" s="5" t="n"/>
      <c r="D777" s="8">
        <f>IF($C777="","",IFERROR(INDEX('Master Inventory'!$B:$B,MATCH($C777,'Master Inventory'!$A:$A,0)),""))</f>
        <v/>
      </c>
      <c r="E777" s="8">
        <f>IF($C777="","",IFERROR(INDEX('Master Inventory'!$C:$C,MATCH($C777,'Master Inventory'!$A:$A,0)),""))</f>
        <v/>
      </c>
      <c r="F777" s="5" t="n"/>
      <c r="G777" s="5" t="n"/>
    </row>
    <row r="778">
      <c r="A778" s="5" t="n"/>
      <c r="B778" s="12" t="n"/>
      <c r="C778" s="5" t="n"/>
      <c r="D778" s="8">
        <f>IF($C778="","",IFERROR(INDEX('Master Inventory'!$B:$B,MATCH($C778,'Master Inventory'!$A:$A,0)),""))</f>
        <v/>
      </c>
      <c r="E778" s="8">
        <f>IF($C778="","",IFERROR(INDEX('Master Inventory'!$C:$C,MATCH($C778,'Master Inventory'!$A:$A,0)),""))</f>
        <v/>
      </c>
      <c r="F778" s="5" t="n"/>
      <c r="G778" s="5" t="n"/>
    </row>
    <row r="779">
      <c r="A779" s="5" t="n"/>
      <c r="B779" s="12" t="n"/>
      <c r="C779" s="5" t="n"/>
      <c r="D779" s="8">
        <f>IF($C779="","",IFERROR(INDEX('Master Inventory'!$B:$B,MATCH($C779,'Master Inventory'!$A:$A,0)),""))</f>
        <v/>
      </c>
      <c r="E779" s="8">
        <f>IF($C779="","",IFERROR(INDEX('Master Inventory'!$C:$C,MATCH($C779,'Master Inventory'!$A:$A,0)),""))</f>
        <v/>
      </c>
      <c r="F779" s="5" t="n"/>
      <c r="G779" s="5" t="n"/>
    </row>
    <row r="780">
      <c r="A780" s="5" t="n"/>
      <c r="B780" s="12" t="n"/>
      <c r="C780" s="5" t="n"/>
      <c r="D780" s="8">
        <f>IF($C780="","",IFERROR(INDEX('Master Inventory'!$B:$B,MATCH($C780,'Master Inventory'!$A:$A,0)),""))</f>
        <v/>
      </c>
      <c r="E780" s="8">
        <f>IF($C780="","",IFERROR(INDEX('Master Inventory'!$C:$C,MATCH($C780,'Master Inventory'!$A:$A,0)),""))</f>
        <v/>
      </c>
      <c r="F780" s="5" t="n"/>
      <c r="G780" s="5" t="n"/>
    </row>
    <row r="781">
      <c r="A781" s="5" t="n"/>
      <c r="B781" s="12" t="n"/>
      <c r="C781" s="5" t="n"/>
      <c r="D781" s="8">
        <f>IF($C781="","",IFERROR(INDEX('Master Inventory'!$B:$B,MATCH($C781,'Master Inventory'!$A:$A,0)),""))</f>
        <v/>
      </c>
      <c r="E781" s="8">
        <f>IF($C781="","",IFERROR(INDEX('Master Inventory'!$C:$C,MATCH($C781,'Master Inventory'!$A:$A,0)),""))</f>
        <v/>
      </c>
      <c r="F781" s="5" t="n"/>
      <c r="G781" s="5" t="n"/>
    </row>
    <row r="782">
      <c r="A782" s="5" t="n"/>
      <c r="B782" s="12" t="n"/>
      <c r="C782" s="5" t="n"/>
      <c r="D782" s="8">
        <f>IF($C782="","",IFERROR(INDEX('Master Inventory'!$B:$B,MATCH($C782,'Master Inventory'!$A:$A,0)),""))</f>
        <v/>
      </c>
      <c r="E782" s="8">
        <f>IF($C782="","",IFERROR(INDEX('Master Inventory'!$C:$C,MATCH($C782,'Master Inventory'!$A:$A,0)),""))</f>
        <v/>
      </c>
      <c r="F782" s="5" t="n"/>
      <c r="G782" s="5" t="n"/>
    </row>
    <row r="783">
      <c r="A783" s="5" t="n"/>
      <c r="B783" s="12" t="n"/>
      <c r="C783" s="5" t="n"/>
      <c r="D783" s="8">
        <f>IF($C783="","",IFERROR(INDEX('Master Inventory'!$B:$B,MATCH($C783,'Master Inventory'!$A:$A,0)),""))</f>
        <v/>
      </c>
      <c r="E783" s="8">
        <f>IF($C783="","",IFERROR(INDEX('Master Inventory'!$C:$C,MATCH($C783,'Master Inventory'!$A:$A,0)),""))</f>
        <v/>
      </c>
      <c r="F783" s="5" t="n"/>
      <c r="G783" s="5" t="n"/>
    </row>
    <row r="784">
      <c r="A784" s="5" t="n"/>
      <c r="B784" s="12" t="n"/>
      <c r="C784" s="5" t="n"/>
      <c r="D784" s="8">
        <f>IF($C784="","",IFERROR(INDEX('Master Inventory'!$B:$B,MATCH($C784,'Master Inventory'!$A:$A,0)),""))</f>
        <v/>
      </c>
      <c r="E784" s="8">
        <f>IF($C784="","",IFERROR(INDEX('Master Inventory'!$C:$C,MATCH($C784,'Master Inventory'!$A:$A,0)),""))</f>
        <v/>
      </c>
      <c r="F784" s="5" t="n"/>
      <c r="G784" s="5" t="n"/>
    </row>
    <row r="785">
      <c r="A785" s="5" t="n"/>
      <c r="B785" s="12" t="n"/>
      <c r="C785" s="5" t="n"/>
      <c r="D785" s="8">
        <f>IF($C785="","",IFERROR(INDEX('Master Inventory'!$B:$B,MATCH($C785,'Master Inventory'!$A:$A,0)),""))</f>
        <v/>
      </c>
      <c r="E785" s="8">
        <f>IF($C785="","",IFERROR(INDEX('Master Inventory'!$C:$C,MATCH($C785,'Master Inventory'!$A:$A,0)),""))</f>
        <v/>
      </c>
      <c r="F785" s="5" t="n"/>
      <c r="G785" s="5" t="n"/>
    </row>
    <row r="786">
      <c r="A786" s="5" t="n"/>
      <c r="B786" s="12" t="n"/>
      <c r="C786" s="5" t="n"/>
      <c r="D786" s="8">
        <f>IF($C786="","",IFERROR(INDEX('Master Inventory'!$B:$B,MATCH($C786,'Master Inventory'!$A:$A,0)),""))</f>
        <v/>
      </c>
      <c r="E786" s="8">
        <f>IF($C786="","",IFERROR(INDEX('Master Inventory'!$C:$C,MATCH($C786,'Master Inventory'!$A:$A,0)),""))</f>
        <v/>
      </c>
      <c r="F786" s="5" t="n"/>
      <c r="G786" s="5" t="n"/>
    </row>
    <row r="787">
      <c r="A787" s="5" t="n"/>
      <c r="B787" s="12" t="n"/>
      <c r="C787" s="5" t="n"/>
      <c r="D787" s="8">
        <f>IF($C787="","",IFERROR(INDEX('Master Inventory'!$B:$B,MATCH($C787,'Master Inventory'!$A:$A,0)),""))</f>
        <v/>
      </c>
      <c r="E787" s="8">
        <f>IF($C787="","",IFERROR(INDEX('Master Inventory'!$C:$C,MATCH($C787,'Master Inventory'!$A:$A,0)),""))</f>
        <v/>
      </c>
      <c r="F787" s="5" t="n"/>
      <c r="G787" s="5" t="n"/>
    </row>
    <row r="788">
      <c r="A788" s="5" t="n"/>
      <c r="B788" s="12" t="n"/>
      <c r="C788" s="5" t="n"/>
      <c r="D788" s="8">
        <f>IF($C788="","",IFERROR(INDEX('Master Inventory'!$B:$B,MATCH($C788,'Master Inventory'!$A:$A,0)),""))</f>
        <v/>
      </c>
      <c r="E788" s="8">
        <f>IF($C788="","",IFERROR(INDEX('Master Inventory'!$C:$C,MATCH($C788,'Master Inventory'!$A:$A,0)),""))</f>
        <v/>
      </c>
      <c r="F788" s="5" t="n"/>
      <c r="G788" s="5" t="n"/>
    </row>
    <row r="789">
      <c r="A789" s="5" t="n"/>
      <c r="B789" s="12" t="n"/>
      <c r="C789" s="5" t="n"/>
      <c r="D789" s="8">
        <f>IF($C789="","",IFERROR(INDEX('Master Inventory'!$B:$B,MATCH($C789,'Master Inventory'!$A:$A,0)),""))</f>
        <v/>
      </c>
      <c r="E789" s="8">
        <f>IF($C789="","",IFERROR(INDEX('Master Inventory'!$C:$C,MATCH($C789,'Master Inventory'!$A:$A,0)),""))</f>
        <v/>
      </c>
      <c r="F789" s="5" t="n"/>
      <c r="G789" s="5" t="n"/>
    </row>
    <row r="790">
      <c r="A790" s="5" t="n"/>
      <c r="B790" s="12" t="n"/>
      <c r="C790" s="5" t="n"/>
      <c r="D790" s="8">
        <f>IF($C790="","",IFERROR(INDEX('Master Inventory'!$B:$B,MATCH($C790,'Master Inventory'!$A:$A,0)),""))</f>
        <v/>
      </c>
      <c r="E790" s="8">
        <f>IF($C790="","",IFERROR(INDEX('Master Inventory'!$C:$C,MATCH($C790,'Master Inventory'!$A:$A,0)),""))</f>
        <v/>
      </c>
      <c r="F790" s="5" t="n"/>
      <c r="G790" s="5" t="n"/>
    </row>
    <row r="791">
      <c r="A791" s="5" t="n"/>
      <c r="B791" s="12" t="n"/>
      <c r="C791" s="5" t="n"/>
      <c r="D791" s="8">
        <f>IF($C791="","",IFERROR(INDEX('Master Inventory'!$B:$B,MATCH($C791,'Master Inventory'!$A:$A,0)),""))</f>
        <v/>
      </c>
      <c r="E791" s="8">
        <f>IF($C791="","",IFERROR(INDEX('Master Inventory'!$C:$C,MATCH($C791,'Master Inventory'!$A:$A,0)),""))</f>
        <v/>
      </c>
      <c r="F791" s="5" t="n"/>
      <c r="G791" s="5" t="n"/>
    </row>
    <row r="792">
      <c r="A792" s="5" t="n"/>
      <c r="B792" s="12" t="n"/>
      <c r="C792" s="5" t="n"/>
      <c r="D792" s="8">
        <f>IF($C792="","",IFERROR(INDEX('Master Inventory'!$B:$B,MATCH($C792,'Master Inventory'!$A:$A,0)),""))</f>
        <v/>
      </c>
      <c r="E792" s="8">
        <f>IF($C792="","",IFERROR(INDEX('Master Inventory'!$C:$C,MATCH($C792,'Master Inventory'!$A:$A,0)),""))</f>
        <v/>
      </c>
      <c r="F792" s="5" t="n"/>
      <c r="G792" s="5" t="n"/>
    </row>
    <row r="793">
      <c r="A793" s="5" t="n"/>
      <c r="B793" s="12" t="n"/>
      <c r="C793" s="5" t="n"/>
      <c r="D793" s="8">
        <f>IF($C793="","",IFERROR(INDEX('Master Inventory'!$B:$B,MATCH($C793,'Master Inventory'!$A:$A,0)),""))</f>
        <v/>
      </c>
      <c r="E793" s="8">
        <f>IF($C793="","",IFERROR(INDEX('Master Inventory'!$C:$C,MATCH($C793,'Master Inventory'!$A:$A,0)),""))</f>
        <v/>
      </c>
      <c r="F793" s="5" t="n"/>
      <c r="G793" s="5" t="n"/>
    </row>
    <row r="794">
      <c r="A794" s="5" t="n"/>
      <c r="B794" s="12" t="n"/>
      <c r="C794" s="5" t="n"/>
      <c r="D794" s="8">
        <f>IF($C794="","",IFERROR(INDEX('Master Inventory'!$B:$B,MATCH($C794,'Master Inventory'!$A:$A,0)),""))</f>
        <v/>
      </c>
      <c r="E794" s="8">
        <f>IF($C794="","",IFERROR(INDEX('Master Inventory'!$C:$C,MATCH($C794,'Master Inventory'!$A:$A,0)),""))</f>
        <v/>
      </c>
      <c r="F794" s="5" t="n"/>
      <c r="G794" s="5" t="n"/>
    </row>
    <row r="795">
      <c r="A795" s="5" t="n"/>
      <c r="B795" s="12" t="n"/>
      <c r="C795" s="5" t="n"/>
      <c r="D795" s="8">
        <f>IF($C795="","",IFERROR(INDEX('Master Inventory'!$B:$B,MATCH($C795,'Master Inventory'!$A:$A,0)),""))</f>
        <v/>
      </c>
      <c r="E795" s="8">
        <f>IF($C795="","",IFERROR(INDEX('Master Inventory'!$C:$C,MATCH($C795,'Master Inventory'!$A:$A,0)),""))</f>
        <v/>
      </c>
      <c r="F795" s="5" t="n"/>
      <c r="G795" s="5" t="n"/>
    </row>
    <row r="796">
      <c r="A796" s="5" t="n"/>
      <c r="B796" s="12" t="n"/>
      <c r="C796" s="5" t="n"/>
      <c r="D796" s="8">
        <f>IF($C796="","",IFERROR(INDEX('Master Inventory'!$B:$B,MATCH($C796,'Master Inventory'!$A:$A,0)),""))</f>
        <v/>
      </c>
      <c r="E796" s="8">
        <f>IF($C796="","",IFERROR(INDEX('Master Inventory'!$C:$C,MATCH($C796,'Master Inventory'!$A:$A,0)),""))</f>
        <v/>
      </c>
      <c r="F796" s="5" t="n"/>
      <c r="G796" s="5" t="n"/>
    </row>
    <row r="797">
      <c r="A797" s="5" t="n"/>
      <c r="B797" s="12" t="n"/>
      <c r="C797" s="5" t="n"/>
      <c r="D797" s="8">
        <f>IF($C797="","",IFERROR(INDEX('Master Inventory'!$B:$B,MATCH($C797,'Master Inventory'!$A:$A,0)),""))</f>
        <v/>
      </c>
      <c r="E797" s="8">
        <f>IF($C797="","",IFERROR(INDEX('Master Inventory'!$C:$C,MATCH($C797,'Master Inventory'!$A:$A,0)),""))</f>
        <v/>
      </c>
      <c r="F797" s="5" t="n"/>
      <c r="G797" s="5" t="n"/>
    </row>
    <row r="798">
      <c r="A798" s="5" t="n"/>
      <c r="B798" s="12" t="n"/>
      <c r="C798" s="5" t="n"/>
      <c r="D798" s="8">
        <f>IF($C798="","",IFERROR(INDEX('Master Inventory'!$B:$B,MATCH($C798,'Master Inventory'!$A:$A,0)),""))</f>
        <v/>
      </c>
      <c r="E798" s="8">
        <f>IF($C798="","",IFERROR(INDEX('Master Inventory'!$C:$C,MATCH($C798,'Master Inventory'!$A:$A,0)),""))</f>
        <v/>
      </c>
      <c r="F798" s="5" t="n"/>
      <c r="G798" s="5" t="n"/>
    </row>
    <row r="799">
      <c r="A799" s="5" t="n"/>
      <c r="B799" s="12" t="n"/>
      <c r="C799" s="5" t="n"/>
      <c r="D799" s="8">
        <f>IF($C799="","",IFERROR(INDEX('Master Inventory'!$B:$B,MATCH($C799,'Master Inventory'!$A:$A,0)),""))</f>
        <v/>
      </c>
      <c r="E799" s="8">
        <f>IF($C799="","",IFERROR(INDEX('Master Inventory'!$C:$C,MATCH($C799,'Master Inventory'!$A:$A,0)),""))</f>
        <v/>
      </c>
      <c r="F799" s="5" t="n"/>
      <c r="G799" s="5" t="n"/>
    </row>
    <row r="800">
      <c r="A800" s="5" t="n"/>
      <c r="B800" s="12" t="n"/>
      <c r="C800" s="5" t="n"/>
      <c r="D800" s="8">
        <f>IF($C800="","",IFERROR(INDEX('Master Inventory'!$B:$B,MATCH($C800,'Master Inventory'!$A:$A,0)),""))</f>
        <v/>
      </c>
      <c r="E800" s="8">
        <f>IF($C800="","",IFERROR(INDEX('Master Inventory'!$C:$C,MATCH($C800,'Master Inventory'!$A:$A,0)),""))</f>
        <v/>
      </c>
      <c r="F800" s="5" t="n"/>
      <c r="G800" s="5" t="n"/>
    </row>
    <row r="801">
      <c r="A801" s="5" t="n"/>
      <c r="B801" s="12" t="n"/>
      <c r="C801" s="5" t="n"/>
      <c r="D801" s="8">
        <f>IF($C801="","",IFERROR(INDEX('Master Inventory'!$B:$B,MATCH($C801,'Master Inventory'!$A:$A,0)),""))</f>
        <v/>
      </c>
      <c r="E801" s="8">
        <f>IF($C801="","",IFERROR(INDEX('Master Inventory'!$C:$C,MATCH($C801,'Master Inventory'!$A:$A,0)),""))</f>
        <v/>
      </c>
      <c r="F801" s="5" t="n"/>
      <c r="G801" s="5" t="n"/>
    </row>
    <row r="802">
      <c r="A802" s="5" t="n"/>
      <c r="B802" s="12" t="n"/>
      <c r="C802" s="5" t="n"/>
      <c r="D802" s="8">
        <f>IF($C802="","",IFERROR(INDEX('Master Inventory'!$B:$B,MATCH($C802,'Master Inventory'!$A:$A,0)),""))</f>
        <v/>
      </c>
      <c r="E802" s="8">
        <f>IF($C802="","",IFERROR(INDEX('Master Inventory'!$C:$C,MATCH($C802,'Master Inventory'!$A:$A,0)),""))</f>
        <v/>
      </c>
      <c r="F802" s="5" t="n"/>
      <c r="G802" s="5" t="n"/>
    </row>
    <row r="803">
      <c r="A803" s="5" t="n"/>
      <c r="B803" s="12" t="n"/>
      <c r="C803" s="5" t="n"/>
      <c r="D803" s="8">
        <f>IF($C803="","",IFERROR(INDEX('Master Inventory'!$B:$B,MATCH($C803,'Master Inventory'!$A:$A,0)),""))</f>
        <v/>
      </c>
      <c r="E803" s="8">
        <f>IF($C803="","",IFERROR(INDEX('Master Inventory'!$C:$C,MATCH($C803,'Master Inventory'!$A:$A,0)),""))</f>
        <v/>
      </c>
      <c r="F803" s="5" t="n"/>
      <c r="G803" s="5" t="n"/>
    </row>
    <row r="804">
      <c r="A804" s="5" t="n"/>
      <c r="B804" s="12" t="n"/>
      <c r="C804" s="5" t="n"/>
      <c r="D804" s="8">
        <f>IF($C804="","",IFERROR(INDEX('Master Inventory'!$B:$B,MATCH($C804,'Master Inventory'!$A:$A,0)),""))</f>
        <v/>
      </c>
      <c r="E804" s="8">
        <f>IF($C804="","",IFERROR(INDEX('Master Inventory'!$C:$C,MATCH($C804,'Master Inventory'!$A:$A,0)),""))</f>
        <v/>
      </c>
      <c r="F804" s="5" t="n"/>
      <c r="G804" s="5" t="n"/>
    </row>
    <row r="805">
      <c r="A805" s="5" t="n"/>
      <c r="B805" s="12" t="n"/>
      <c r="C805" s="5" t="n"/>
      <c r="D805" s="8">
        <f>IF($C805="","",IFERROR(INDEX('Master Inventory'!$B:$B,MATCH($C805,'Master Inventory'!$A:$A,0)),""))</f>
        <v/>
      </c>
      <c r="E805" s="8">
        <f>IF($C805="","",IFERROR(INDEX('Master Inventory'!$C:$C,MATCH($C805,'Master Inventory'!$A:$A,0)),""))</f>
        <v/>
      </c>
      <c r="F805" s="5" t="n"/>
      <c r="G805" s="5" t="n"/>
    </row>
    <row r="806">
      <c r="A806" s="5" t="n"/>
      <c r="B806" s="12" t="n"/>
      <c r="C806" s="5" t="n"/>
      <c r="D806" s="8">
        <f>IF($C806="","",IFERROR(INDEX('Master Inventory'!$B:$B,MATCH($C806,'Master Inventory'!$A:$A,0)),""))</f>
        <v/>
      </c>
      <c r="E806" s="8">
        <f>IF($C806="","",IFERROR(INDEX('Master Inventory'!$C:$C,MATCH($C806,'Master Inventory'!$A:$A,0)),""))</f>
        <v/>
      </c>
      <c r="F806" s="5" t="n"/>
      <c r="G806" s="5" t="n"/>
    </row>
    <row r="807">
      <c r="A807" s="5" t="n"/>
      <c r="B807" s="12" t="n"/>
      <c r="C807" s="5" t="n"/>
      <c r="D807" s="8">
        <f>IF($C807="","",IFERROR(INDEX('Master Inventory'!$B:$B,MATCH($C807,'Master Inventory'!$A:$A,0)),""))</f>
        <v/>
      </c>
      <c r="E807" s="8">
        <f>IF($C807="","",IFERROR(INDEX('Master Inventory'!$C:$C,MATCH($C807,'Master Inventory'!$A:$A,0)),""))</f>
        <v/>
      </c>
      <c r="F807" s="5" t="n"/>
      <c r="G807" s="5" t="n"/>
    </row>
    <row r="808">
      <c r="A808" s="5" t="n"/>
      <c r="B808" s="12" t="n"/>
      <c r="C808" s="5" t="n"/>
      <c r="D808" s="8">
        <f>IF($C808="","",IFERROR(INDEX('Master Inventory'!$B:$B,MATCH($C808,'Master Inventory'!$A:$A,0)),""))</f>
        <v/>
      </c>
      <c r="E808" s="8">
        <f>IF($C808="","",IFERROR(INDEX('Master Inventory'!$C:$C,MATCH($C808,'Master Inventory'!$A:$A,0)),""))</f>
        <v/>
      </c>
      <c r="F808" s="5" t="n"/>
      <c r="G808" s="5" t="n"/>
    </row>
    <row r="809">
      <c r="A809" s="5" t="n"/>
      <c r="B809" s="12" t="n"/>
      <c r="C809" s="5" t="n"/>
      <c r="D809" s="8">
        <f>IF($C809="","",IFERROR(INDEX('Master Inventory'!$B:$B,MATCH($C809,'Master Inventory'!$A:$A,0)),""))</f>
        <v/>
      </c>
      <c r="E809" s="8">
        <f>IF($C809="","",IFERROR(INDEX('Master Inventory'!$C:$C,MATCH($C809,'Master Inventory'!$A:$A,0)),""))</f>
        <v/>
      </c>
      <c r="F809" s="5" t="n"/>
      <c r="G809" s="5" t="n"/>
    </row>
    <row r="810">
      <c r="A810" s="5" t="n"/>
      <c r="B810" s="12" t="n"/>
      <c r="C810" s="5" t="n"/>
      <c r="D810" s="8">
        <f>IF($C810="","",IFERROR(INDEX('Master Inventory'!$B:$B,MATCH($C810,'Master Inventory'!$A:$A,0)),""))</f>
        <v/>
      </c>
      <c r="E810" s="8">
        <f>IF($C810="","",IFERROR(INDEX('Master Inventory'!$C:$C,MATCH($C810,'Master Inventory'!$A:$A,0)),""))</f>
        <v/>
      </c>
      <c r="F810" s="5" t="n"/>
      <c r="G810" s="5" t="n"/>
    </row>
    <row r="811">
      <c r="A811" s="5" t="n"/>
      <c r="B811" s="12" t="n"/>
      <c r="C811" s="5" t="n"/>
      <c r="D811" s="8">
        <f>IF($C811="","",IFERROR(INDEX('Master Inventory'!$B:$B,MATCH($C811,'Master Inventory'!$A:$A,0)),""))</f>
        <v/>
      </c>
      <c r="E811" s="8">
        <f>IF($C811="","",IFERROR(INDEX('Master Inventory'!$C:$C,MATCH($C811,'Master Inventory'!$A:$A,0)),""))</f>
        <v/>
      </c>
      <c r="F811" s="5" t="n"/>
      <c r="G811" s="5" t="n"/>
    </row>
    <row r="812">
      <c r="A812" s="5" t="n"/>
      <c r="B812" s="12" t="n"/>
      <c r="C812" s="5" t="n"/>
      <c r="D812" s="8">
        <f>IF($C812="","",IFERROR(INDEX('Master Inventory'!$B:$B,MATCH($C812,'Master Inventory'!$A:$A,0)),""))</f>
        <v/>
      </c>
      <c r="E812" s="8">
        <f>IF($C812="","",IFERROR(INDEX('Master Inventory'!$C:$C,MATCH($C812,'Master Inventory'!$A:$A,0)),""))</f>
        <v/>
      </c>
      <c r="F812" s="5" t="n"/>
      <c r="G812" s="5" t="n"/>
    </row>
    <row r="813">
      <c r="A813" s="5" t="n"/>
      <c r="B813" s="12" t="n"/>
      <c r="C813" s="5" t="n"/>
      <c r="D813" s="8">
        <f>IF($C813="","",IFERROR(INDEX('Master Inventory'!$B:$B,MATCH($C813,'Master Inventory'!$A:$A,0)),""))</f>
        <v/>
      </c>
      <c r="E813" s="8">
        <f>IF($C813="","",IFERROR(INDEX('Master Inventory'!$C:$C,MATCH($C813,'Master Inventory'!$A:$A,0)),""))</f>
        <v/>
      </c>
      <c r="F813" s="5" t="n"/>
      <c r="G813" s="5" t="n"/>
    </row>
    <row r="814">
      <c r="A814" s="5" t="n"/>
      <c r="B814" s="12" t="n"/>
      <c r="C814" s="5" t="n"/>
      <c r="D814" s="8">
        <f>IF($C814="","",IFERROR(INDEX('Master Inventory'!$B:$B,MATCH($C814,'Master Inventory'!$A:$A,0)),""))</f>
        <v/>
      </c>
      <c r="E814" s="8">
        <f>IF($C814="","",IFERROR(INDEX('Master Inventory'!$C:$C,MATCH($C814,'Master Inventory'!$A:$A,0)),""))</f>
        <v/>
      </c>
      <c r="F814" s="5" t="n"/>
      <c r="G814" s="5" t="n"/>
    </row>
    <row r="815">
      <c r="A815" s="5" t="n"/>
      <c r="B815" s="12" t="n"/>
      <c r="C815" s="5" t="n"/>
      <c r="D815" s="8">
        <f>IF($C815="","",IFERROR(INDEX('Master Inventory'!$B:$B,MATCH($C815,'Master Inventory'!$A:$A,0)),""))</f>
        <v/>
      </c>
      <c r="E815" s="8">
        <f>IF($C815="","",IFERROR(INDEX('Master Inventory'!$C:$C,MATCH($C815,'Master Inventory'!$A:$A,0)),""))</f>
        <v/>
      </c>
      <c r="F815" s="5" t="n"/>
      <c r="G815" s="5" t="n"/>
    </row>
    <row r="816">
      <c r="A816" s="5" t="n"/>
      <c r="B816" s="12" t="n"/>
      <c r="C816" s="5" t="n"/>
      <c r="D816" s="8">
        <f>IF($C816="","",IFERROR(INDEX('Master Inventory'!$B:$B,MATCH($C816,'Master Inventory'!$A:$A,0)),""))</f>
        <v/>
      </c>
      <c r="E816" s="8">
        <f>IF($C816="","",IFERROR(INDEX('Master Inventory'!$C:$C,MATCH($C816,'Master Inventory'!$A:$A,0)),""))</f>
        <v/>
      </c>
      <c r="F816" s="5" t="n"/>
      <c r="G816" s="5" t="n"/>
    </row>
    <row r="817">
      <c r="A817" s="5" t="n"/>
      <c r="B817" s="12" t="n"/>
      <c r="C817" s="5" t="n"/>
      <c r="D817" s="8">
        <f>IF($C817="","",IFERROR(INDEX('Master Inventory'!$B:$B,MATCH($C817,'Master Inventory'!$A:$A,0)),""))</f>
        <v/>
      </c>
      <c r="E817" s="8">
        <f>IF($C817="","",IFERROR(INDEX('Master Inventory'!$C:$C,MATCH($C817,'Master Inventory'!$A:$A,0)),""))</f>
        <v/>
      </c>
      <c r="F817" s="5" t="n"/>
      <c r="G817" s="5" t="n"/>
    </row>
    <row r="818">
      <c r="A818" s="5" t="n"/>
      <c r="B818" s="12" t="n"/>
      <c r="C818" s="5" t="n"/>
      <c r="D818" s="8">
        <f>IF($C818="","",IFERROR(INDEX('Master Inventory'!$B:$B,MATCH($C818,'Master Inventory'!$A:$A,0)),""))</f>
        <v/>
      </c>
      <c r="E818" s="8">
        <f>IF($C818="","",IFERROR(INDEX('Master Inventory'!$C:$C,MATCH($C818,'Master Inventory'!$A:$A,0)),""))</f>
        <v/>
      </c>
      <c r="F818" s="5" t="n"/>
      <c r="G818" s="5" t="n"/>
    </row>
    <row r="819">
      <c r="A819" s="5" t="n"/>
      <c r="B819" s="12" t="n"/>
      <c r="C819" s="5" t="n"/>
      <c r="D819" s="8">
        <f>IF($C819="","",IFERROR(INDEX('Master Inventory'!$B:$B,MATCH($C819,'Master Inventory'!$A:$A,0)),""))</f>
        <v/>
      </c>
      <c r="E819" s="8">
        <f>IF($C819="","",IFERROR(INDEX('Master Inventory'!$C:$C,MATCH($C819,'Master Inventory'!$A:$A,0)),""))</f>
        <v/>
      </c>
      <c r="F819" s="5" t="n"/>
      <c r="G819" s="5" t="n"/>
    </row>
    <row r="820">
      <c r="A820" s="5" t="n"/>
      <c r="B820" s="12" t="n"/>
      <c r="C820" s="5" t="n"/>
      <c r="D820" s="8">
        <f>IF($C820="","",IFERROR(INDEX('Master Inventory'!$B:$B,MATCH($C820,'Master Inventory'!$A:$A,0)),""))</f>
        <v/>
      </c>
      <c r="E820" s="8">
        <f>IF($C820="","",IFERROR(INDEX('Master Inventory'!$C:$C,MATCH($C820,'Master Inventory'!$A:$A,0)),""))</f>
        <v/>
      </c>
      <c r="F820" s="5" t="n"/>
      <c r="G820" s="5" t="n"/>
    </row>
    <row r="821">
      <c r="A821" s="5" t="n"/>
      <c r="B821" s="12" t="n"/>
      <c r="C821" s="5" t="n"/>
      <c r="D821" s="8">
        <f>IF($C821="","",IFERROR(INDEX('Master Inventory'!$B:$B,MATCH($C821,'Master Inventory'!$A:$A,0)),""))</f>
        <v/>
      </c>
      <c r="E821" s="8">
        <f>IF($C821="","",IFERROR(INDEX('Master Inventory'!$C:$C,MATCH($C821,'Master Inventory'!$A:$A,0)),""))</f>
        <v/>
      </c>
      <c r="F821" s="5" t="n"/>
      <c r="G821" s="5" t="n"/>
    </row>
    <row r="822">
      <c r="A822" s="5" t="n"/>
      <c r="B822" s="12" t="n"/>
      <c r="C822" s="5" t="n"/>
      <c r="D822" s="8">
        <f>IF($C822="","",IFERROR(INDEX('Master Inventory'!$B:$B,MATCH($C822,'Master Inventory'!$A:$A,0)),""))</f>
        <v/>
      </c>
      <c r="E822" s="8">
        <f>IF($C822="","",IFERROR(INDEX('Master Inventory'!$C:$C,MATCH($C822,'Master Inventory'!$A:$A,0)),""))</f>
        <v/>
      </c>
      <c r="F822" s="5" t="n"/>
      <c r="G822" s="5" t="n"/>
    </row>
    <row r="823">
      <c r="A823" s="5" t="n"/>
      <c r="B823" s="12" t="n"/>
      <c r="C823" s="5" t="n"/>
      <c r="D823" s="8">
        <f>IF($C823="","",IFERROR(INDEX('Master Inventory'!$B:$B,MATCH($C823,'Master Inventory'!$A:$A,0)),""))</f>
        <v/>
      </c>
      <c r="E823" s="8">
        <f>IF($C823="","",IFERROR(INDEX('Master Inventory'!$C:$C,MATCH($C823,'Master Inventory'!$A:$A,0)),""))</f>
        <v/>
      </c>
      <c r="F823" s="5" t="n"/>
      <c r="G823" s="5" t="n"/>
    </row>
    <row r="824">
      <c r="A824" s="5" t="n"/>
      <c r="B824" s="12" t="n"/>
      <c r="C824" s="5" t="n"/>
      <c r="D824" s="8">
        <f>IF($C824="","",IFERROR(INDEX('Master Inventory'!$B:$B,MATCH($C824,'Master Inventory'!$A:$A,0)),""))</f>
        <v/>
      </c>
      <c r="E824" s="8">
        <f>IF($C824="","",IFERROR(INDEX('Master Inventory'!$C:$C,MATCH($C824,'Master Inventory'!$A:$A,0)),""))</f>
        <v/>
      </c>
      <c r="F824" s="5" t="n"/>
      <c r="G824" s="5" t="n"/>
    </row>
    <row r="825">
      <c r="A825" s="5" t="n"/>
      <c r="B825" s="12" t="n"/>
      <c r="C825" s="5" t="n"/>
      <c r="D825" s="8">
        <f>IF($C825="","",IFERROR(INDEX('Master Inventory'!$B:$B,MATCH($C825,'Master Inventory'!$A:$A,0)),""))</f>
        <v/>
      </c>
      <c r="E825" s="8">
        <f>IF($C825="","",IFERROR(INDEX('Master Inventory'!$C:$C,MATCH($C825,'Master Inventory'!$A:$A,0)),""))</f>
        <v/>
      </c>
      <c r="F825" s="5" t="n"/>
      <c r="G825" s="5" t="n"/>
    </row>
    <row r="826">
      <c r="A826" s="5" t="n"/>
      <c r="B826" s="12" t="n"/>
      <c r="C826" s="5" t="n"/>
      <c r="D826" s="8">
        <f>IF($C826="","",IFERROR(INDEX('Master Inventory'!$B:$B,MATCH($C826,'Master Inventory'!$A:$A,0)),""))</f>
        <v/>
      </c>
      <c r="E826" s="8">
        <f>IF($C826="","",IFERROR(INDEX('Master Inventory'!$C:$C,MATCH($C826,'Master Inventory'!$A:$A,0)),""))</f>
        <v/>
      </c>
      <c r="F826" s="5" t="n"/>
      <c r="G826" s="5" t="n"/>
    </row>
    <row r="827">
      <c r="A827" s="5" t="n"/>
      <c r="B827" s="12" t="n"/>
      <c r="C827" s="5" t="n"/>
      <c r="D827" s="8">
        <f>IF($C827="","",IFERROR(INDEX('Master Inventory'!$B:$B,MATCH($C827,'Master Inventory'!$A:$A,0)),""))</f>
        <v/>
      </c>
      <c r="E827" s="8">
        <f>IF($C827="","",IFERROR(INDEX('Master Inventory'!$C:$C,MATCH($C827,'Master Inventory'!$A:$A,0)),""))</f>
        <v/>
      </c>
      <c r="F827" s="5" t="n"/>
      <c r="G827" s="5" t="n"/>
    </row>
    <row r="828">
      <c r="A828" s="5" t="n"/>
      <c r="B828" s="12" t="n"/>
      <c r="C828" s="5" t="n"/>
      <c r="D828" s="8">
        <f>IF($C828="","",IFERROR(INDEX('Master Inventory'!$B:$B,MATCH($C828,'Master Inventory'!$A:$A,0)),""))</f>
        <v/>
      </c>
      <c r="E828" s="8">
        <f>IF($C828="","",IFERROR(INDEX('Master Inventory'!$C:$C,MATCH($C828,'Master Inventory'!$A:$A,0)),""))</f>
        <v/>
      </c>
      <c r="F828" s="5" t="n"/>
      <c r="G828" s="5" t="n"/>
    </row>
    <row r="829">
      <c r="A829" s="5" t="n"/>
      <c r="B829" s="12" t="n"/>
      <c r="C829" s="5" t="n"/>
      <c r="D829" s="8">
        <f>IF($C829="","",IFERROR(INDEX('Master Inventory'!$B:$B,MATCH($C829,'Master Inventory'!$A:$A,0)),""))</f>
        <v/>
      </c>
      <c r="E829" s="8">
        <f>IF($C829="","",IFERROR(INDEX('Master Inventory'!$C:$C,MATCH($C829,'Master Inventory'!$A:$A,0)),""))</f>
        <v/>
      </c>
      <c r="F829" s="5" t="n"/>
      <c r="G829" s="5" t="n"/>
    </row>
    <row r="830">
      <c r="A830" s="5" t="n"/>
      <c r="B830" s="12" t="n"/>
      <c r="C830" s="5" t="n"/>
      <c r="D830" s="8">
        <f>IF($C830="","",IFERROR(INDEX('Master Inventory'!$B:$B,MATCH($C830,'Master Inventory'!$A:$A,0)),""))</f>
        <v/>
      </c>
      <c r="E830" s="8">
        <f>IF($C830="","",IFERROR(INDEX('Master Inventory'!$C:$C,MATCH($C830,'Master Inventory'!$A:$A,0)),""))</f>
        <v/>
      </c>
      <c r="F830" s="5" t="n"/>
      <c r="G830" s="5" t="n"/>
    </row>
    <row r="831">
      <c r="A831" s="5" t="n"/>
      <c r="B831" s="12" t="n"/>
      <c r="C831" s="5" t="n"/>
      <c r="D831" s="8">
        <f>IF($C831="","",IFERROR(INDEX('Master Inventory'!$B:$B,MATCH($C831,'Master Inventory'!$A:$A,0)),""))</f>
        <v/>
      </c>
      <c r="E831" s="8">
        <f>IF($C831="","",IFERROR(INDEX('Master Inventory'!$C:$C,MATCH($C831,'Master Inventory'!$A:$A,0)),""))</f>
        <v/>
      </c>
      <c r="F831" s="5" t="n"/>
      <c r="G831" s="5" t="n"/>
    </row>
    <row r="832">
      <c r="A832" s="5" t="n"/>
      <c r="B832" s="12" t="n"/>
      <c r="C832" s="5" t="n"/>
      <c r="D832" s="8">
        <f>IF($C832="","",IFERROR(INDEX('Master Inventory'!$B:$B,MATCH($C832,'Master Inventory'!$A:$A,0)),""))</f>
        <v/>
      </c>
      <c r="E832" s="8">
        <f>IF($C832="","",IFERROR(INDEX('Master Inventory'!$C:$C,MATCH($C832,'Master Inventory'!$A:$A,0)),""))</f>
        <v/>
      </c>
      <c r="F832" s="5" t="n"/>
      <c r="G832" s="5" t="n"/>
    </row>
    <row r="833">
      <c r="A833" s="5" t="n"/>
      <c r="B833" s="12" t="n"/>
      <c r="C833" s="5" t="n"/>
      <c r="D833" s="8">
        <f>IF($C833="","",IFERROR(INDEX('Master Inventory'!$B:$B,MATCH($C833,'Master Inventory'!$A:$A,0)),""))</f>
        <v/>
      </c>
      <c r="E833" s="8">
        <f>IF($C833="","",IFERROR(INDEX('Master Inventory'!$C:$C,MATCH($C833,'Master Inventory'!$A:$A,0)),""))</f>
        <v/>
      </c>
      <c r="F833" s="5" t="n"/>
      <c r="G833" s="5" t="n"/>
    </row>
    <row r="834">
      <c r="A834" s="5" t="n"/>
      <c r="B834" s="12" t="n"/>
      <c r="C834" s="5" t="n"/>
      <c r="D834" s="8">
        <f>IF($C834="","",IFERROR(INDEX('Master Inventory'!$B:$B,MATCH($C834,'Master Inventory'!$A:$A,0)),""))</f>
        <v/>
      </c>
      <c r="E834" s="8">
        <f>IF($C834="","",IFERROR(INDEX('Master Inventory'!$C:$C,MATCH($C834,'Master Inventory'!$A:$A,0)),""))</f>
        <v/>
      </c>
      <c r="F834" s="5" t="n"/>
      <c r="G834" s="5" t="n"/>
    </row>
    <row r="835">
      <c r="A835" s="5" t="n"/>
      <c r="B835" s="12" t="n"/>
      <c r="C835" s="5" t="n"/>
      <c r="D835" s="8">
        <f>IF($C835="","",IFERROR(INDEX('Master Inventory'!$B:$B,MATCH($C835,'Master Inventory'!$A:$A,0)),""))</f>
        <v/>
      </c>
      <c r="E835" s="8">
        <f>IF($C835="","",IFERROR(INDEX('Master Inventory'!$C:$C,MATCH($C835,'Master Inventory'!$A:$A,0)),""))</f>
        <v/>
      </c>
      <c r="F835" s="5" t="n"/>
      <c r="G835" s="5" t="n"/>
    </row>
    <row r="836">
      <c r="A836" s="5" t="n"/>
      <c r="B836" s="12" t="n"/>
      <c r="C836" s="5" t="n"/>
      <c r="D836" s="8">
        <f>IF($C836="","",IFERROR(INDEX('Master Inventory'!$B:$B,MATCH($C836,'Master Inventory'!$A:$A,0)),""))</f>
        <v/>
      </c>
      <c r="E836" s="8">
        <f>IF($C836="","",IFERROR(INDEX('Master Inventory'!$C:$C,MATCH($C836,'Master Inventory'!$A:$A,0)),""))</f>
        <v/>
      </c>
      <c r="F836" s="5" t="n"/>
      <c r="G836" s="5" t="n"/>
    </row>
    <row r="837">
      <c r="A837" s="5" t="n"/>
      <c r="B837" s="12" t="n"/>
      <c r="C837" s="5" t="n"/>
      <c r="D837" s="8">
        <f>IF($C837="","",IFERROR(INDEX('Master Inventory'!$B:$B,MATCH($C837,'Master Inventory'!$A:$A,0)),""))</f>
        <v/>
      </c>
      <c r="E837" s="8">
        <f>IF($C837="","",IFERROR(INDEX('Master Inventory'!$C:$C,MATCH($C837,'Master Inventory'!$A:$A,0)),""))</f>
        <v/>
      </c>
      <c r="F837" s="5" t="n"/>
      <c r="G837" s="5" t="n"/>
    </row>
    <row r="838">
      <c r="A838" s="5" t="n"/>
      <c r="B838" s="12" t="n"/>
      <c r="C838" s="5" t="n"/>
      <c r="D838" s="8">
        <f>IF($C838="","",IFERROR(INDEX('Master Inventory'!$B:$B,MATCH($C838,'Master Inventory'!$A:$A,0)),""))</f>
        <v/>
      </c>
      <c r="E838" s="8">
        <f>IF($C838="","",IFERROR(INDEX('Master Inventory'!$C:$C,MATCH($C838,'Master Inventory'!$A:$A,0)),""))</f>
        <v/>
      </c>
      <c r="F838" s="5" t="n"/>
      <c r="G838" s="5" t="n"/>
    </row>
    <row r="839">
      <c r="A839" s="5" t="n"/>
      <c r="B839" s="12" t="n"/>
      <c r="C839" s="5" t="n"/>
      <c r="D839" s="8">
        <f>IF($C839="","",IFERROR(INDEX('Master Inventory'!$B:$B,MATCH($C839,'Master Inventory'!$A:$A,0)),""))</f>
        <v/>
      </c>
      <c r="E839" s="8">
        <f>IF($C839="","",IFERROR(INDEX('Master Inventory'!$C:$C,MATCH($C839,'Master Inventory'!$A:$A,0)),""))</f>
        <v/>
      </c>
      <c r="F839" s="5" t="n"/>
      <c r="G839" s="5" t="n"/>
    </row>
    <row r="840">
      <c r="A840" s="5" t="n"/>
      <c r="B840" s="12" t="n"/>
      <c r="C840" s="5" t="n"/>
      <c r="D840" s="8">
        <f>IF($C840="","",IFERROR(INDEX('Master Inventory'!$B:$B,MATCH($C840,'Master Inventory'!$A:$A,0)),""))</f>
        <v/>
      </c>
      <c r="E840" s="8">
        <f>IF($C840="","",IFERROR(INDEX('Master Inventory'!$C:$C,MATCH($C840,'Master Inventory'!$A:$A,0)),""))</f>
        <v/>
      </c>
      <c r="F840" s="5" t="n"/>
      <c r="G840" s="5" t="n"/>
    </row>
    <row r="841">
      <c r="A841" s="5" t="n"/>
      <c r="B841" s="12" t="n"/>
      <c r="C841" s="5" t="n"/>
      <c r="D841" s="8">
        <f>IF($C841="","",IFERROR(INDEX('Master Inventory'!$B:$B,MATCH($C841,'Master Inventory'!$A:$A,0)),""))</f>
        <v/>
      </c>
      <c r="E841" s="8">
        <f>IF($C841="","",IFERROR(INDEX('Master Inventory'!$C:$C,MATCH($C841,'Master Inventory'!$A:$A,0)),""))</f>
        <v/>
      </c>
      <c r="F841" s="5" t="n"/>
      <c r="G841" s="5" t="n"/>
    </row>
    <row r="842">
      <c r="A842" s="5" t="n"/>
      <c r="B842" s="12" t="n"/>
      <c r="C842" s="5" t="n"/>
      <c r="D842" s="8">
        <f>IF($C842="","",IFERROR(INDEX('Master Inventory'!$B:$B,MATCH($C842,'Master Inventory'!$A:$A,0)),""))</f>
        <v/>
      </c>
      <c r="E842" s="8">
        <f>IF($C842="","",IFERROR(INDEX('Master Inventory'!$C:$C,MATCH($C842,'Master Inventory'!$A:$A,0)),""))</f>
        <v/>
      </c>
      <c r="F842" s="5" t="n"/>
      <c r="G842" s="5" t="n"/>
    </row>
    <row r="843">
      <c r="A843" s="5" t="n"/>
      <c r="B843" s="12" t="n"/>
      <c r="C843" s="5" t="n"/>
      <c r="D843" s="8">
        <f>IF($C843="","",IFERROR(INDEX('Master Inventory'!$B:$B,MATCH($C843,'Master Inventory'!$A:$A,0)),""))</f>
        <v/>
      </c>
      <c r="E843" s="8">
        <f>IF($C843="","",IFERROR(INDEX('Master Inventory'!$C:$C,MATCH($C843,'Master Inventory'!$A:$A,0)),""))</f>
        <v/>
      </c>
      <c r="F843" s="5" t="n"/>
      <c r="G843" s="5" t="n"/>
    </row>
    <row r="844">
      <c r="A844" s="5" t="n"/>
      <c r="B844" s="12" t="n"/>
      <c r="C844" s="5" t="n"/>
      <c r="D844" s="8">
        <f>IF($C844="","",IFERROR(INDEX('Master Inventory'!$B:$B,MATCH($C844,'Master Inventory'!$A:$A,0)),""))</f>
        <v/>
      </c>
      <c r="E844" s="8">
        <f>IF($C844="","",IFERROR(INDEX('Master Inventory'!$C:$C,MATCH($C844,'Master Inventory'!$A:$A,0)),""))</f>
        <v/>
      </c>
      <c r="F844" s="5" t="n"/>
      <c r="G844" s="5" t="n"/>
    </row>
    <row r="845">
      <c r="A845" s="5" t="n"/>
      <c r="B845" s="12" t="n"/>
      <c r="C845" s="5" t="n"/>
      <c r="D845" s="8">
        <f>IF($C845="","",IFERROR(INDEX('Master Inventory'!$B:$B,MATCH($C845,'Master Inventory'!$A:$A,0)),""))</f>
        <v/>
      </c>
      <c r="E845" s="8">
        <f>IF($C845="","",IFERROR(INDEX('Master Inventory'!$C:$C,MATCH($C845,'Master Inventory'!$A:$A,0)),""))</f>
        <v/>
      </c>
      <c r="F845" s="5" t="n"/>
      <c r="G845" s="5" t="n"/>
    </row>
    <row r="846">
      <c r="A846" s="5" t="n"/>
      <c r="B846" s="12" t="n"/>
      <c r="C846" s="5" t="n"/>
      <c r="D846" s="8">
        <f>IF($C846="","",IFERROR(INDEX('Master Inventory'!$B:$B,MATCH($C846,'Master Inventory'!$A:$A,0)),""))</f>
        <v/>
      </c>
      <c r="E846" s="8">
        <f>IF($C846="","",IFERROR(INDEX('Master Inventory'!$C:$C,MATCH($C846,'Master Inventory'!$A:$A,0)),""))</f>
        <v/>
      </c>
      <c r="F846" s="5" t="n"/>
      <c r="G846" s="5" t="n"/>
    </row>
    <row r="847">
      <c r="A847" s="5" t="n"/>
      <c r="B847" s="12" t="n"/>
      <c r="C847" s="5" t="n"/>
      <c r="D847" s="8">
        <f>IF($C847="","",IFERROR(INDEX('Master Inventory'!$B:$B,MATCH($C847,'Master Inventory'!$A:$A,0)),""))</f>
        <v/>
      </c>
      <c r="E847" s="8">
        <f>IF($C847="","",IFERROR(INDEX('Master Inventory'!$C:$C,MATCH($C847,'Master Inventory'!$A:$A,0)),""))</f>
        <v/>
      </c>
      <c r="F847" s="5" t="n"/>
      <c r="G847" s="5" t="n"/>
    </row>
    <row r="848">
      <c r="A848" s="5" t="n"/>
      <c r="B848" s="12" t="n"/>
      <c r="C848" s="5" t="n"/>
      <c r="D848" s="8">
        <f>IF($C848="","",IFERROR(INDEX('Master Inventory'!$B:$B,MATCH($C848,'Master Inventory'!$A:$A,0)),""))</f>
        <v/>
      </c>
      <c r="E848" s="8">
        <f>IF($C848="","",IFERROR(INDEX('Master Inventory'!$C:$C,MATCH($C848,'Master Inventory'!$A:$A,0)),""))</f>
        <v/>
      </c>
      <c r="F848" s="5" t="n"/>
      <c r="G848" s="5" t="n"/>
    </row>
    <row r="849">
      <c r="A849" s="5" t="n"/>
      <c r="B849" s="12" t="n"/>
      <c r="C849" s="5" t="n"/>
      <c r="D849" s="8">
        <f>IF($C849="","",IFERROR(INDEX('Master Inventory'!$B:$B,MATCH($C849,'Master Inventory'!$A:$A,0)),""))</f>
        <v/>
      </c>
      <c r="E849" s="8">
        <f>IF($C849="","",IFERROR(INDEX('Master Inventory'!$C:$C,MATCH($C849,'Master Inventory'!$A:$A,0)),""))</f>
        <v/>
      </c>
      <c r="F849" s="5" t="n"/>
      <c r="G849" s="5" t="n"/>
    </row>
    <row r="850">
      <c r="A850" s="5" t="n"/>
      <c r="B850" s="12" t="n"/>
      <c r="C850" s="5" t="n"/>
      <c r="D850" s="8">
        <f>IF($C850="","",IFERROR(INDEX('Master Inventory'!$B:$B,MATCH($C850,'Master Inventory'!$A:$A,0)),""))</f>
        <v/>
      </c>
      <c r="E850" s="8">
        <f>IF($C850="","",IFERROR(INDEX('Master Inventory'!$C:$C,MATCH($C850,'Master Inventory'!$A:$A,0)),""))</f>
        <v/>
      </c>
      <c r="F850" s="5" t="n"/>
      <c r="G850" s="5" t="n"/>
    </row>
    <row r="851">
      <c r="A851" s="5" t="n"/>
      <c r="B851" s="12" t="n"/>
      <c r="C851" s="5" t="n"/>
      <c r="D851" s="8">
        <f>IF($C851="","",IFERROR(INDEX('Master Inventory'!$B:$B,MATCH($C851,'Master Inventory'!$A:$A,0)),""))</f>
        <v/>
      </c>
      <c r="E851" s="8">
        <f>IF($C851="","",IFERROR(INDEX('Master Inventory'!$C:$C,MATCH($C851,'Master Inventory'!$A:$A,0)),""))</f>
        <v/>
      </c>
      <c r="F851" s="5" t="n"/>
      <c r="G851" s="5" t="n"/>
    </row>
    <row r="852">
      <c r="A852" s="5" t="n"/>
      <c r="B852" s="12" t="n"/>
      <c r="C852" s="5" t="n"/>
      <c r="D852" s="8">
        <f>IF($C852="","",IFERROR(INDEX('Master Inventory'!$B:$B,MATCH($C852,'Master Inventory'!$A:$A,0)),""))</f>
        <v/>
      </c>
      <c r="E852" s="8">
        <f>IF($C852="","",IFERROR(INDEX('Master Inventory'!$C:$C,MATCH($C852,'Master Inventory'!$A:$A,0)),""))</f>
        <v/>
      </c>
      <c r="F852" s="5" t="n"/>
      <c r="G852" s="5" t="n"/>
    </row>
    <row r="853">
      <c r="A853" s="5" t="n"/>
      <c r="B853" s="12" t="n"/>
      <c r="C853" s="5" t="n"/>
      <c r="D853" s="8">
        <f>IF($C853="","",IFERROR(INDEX('Master Inventory'!$B:$B,MATCH($C853,'Master Inventory'!$A:$A,0)),""))</f>
        <v/>
      </c>
      <c r="E853" s="8">
        <f>IF($C853="","",IFERROR(INDEX('Master Inventory'!$C:$C,MATCH($C853,'Master Inventory'!$A:$A,0)),""))</f>
        <v/>
      </c>
      <c r="F853" s="5" t="n"/>
      <c r="G853" s="5" t="n"/>
    </row>
    <row r="854">
      <c r="A854" s="5" t="n"/>
      <c r="B854" s="12" t="n"/>
      <c r="C854" s="5" t="n"/>
      <c r="D854" s="8">
        <f>IF($C854="","",IFERROR(INDEX('Master Inventory'!$B:$B,MATCH($C854,'Master Inventory'!$A:$A,0)),""))</f>
        <v/>
      </c>
      <c r="E854" s="8">
        <f>IF($C854="","",IFERROR(INDEX('Master Inventory'!$C:$C,MATCH($C854,'Master Inventory'!$A:$A,0)),""))</f>
        <v/>
      </c>
      <c r="F854" s="5" t="n"/>
      <c r="G854" s="5" t="n"/>
    </row>
    <row r="855">
      <c r="A855" s="5" t="n"/>
      <c r="B855" s="12" t="n"/>
      <c r="C855" s="5" t="n"/>
      <c r="D855" s="8">
        <f>IF($C855="","",IFERROR(INDEX('Master Inventory'!$B:$B,MATCH($C855,'Master Inventory'!$A:$A,0)),""))</f>
        <v/>
      </c>
      <c r="E855" s="8">
        <f>IF($C855="","",IFERROR(INDEX('Master Inventory'!$C:$C,MATCH($C855,'Master Inventory'!$A:$A,0)),""))</f>
        <v/>
      </c>
      <c r="F855" s="5" t="n"/>
      <c r="G855" s="5" t="n"/>
    </row>
    <row r="856">
      <c r="A856" s="5" t="n"/>
      <c r="B856" s="12" t="n"/>
      <c r="C856" s="5" t="n"/>
      <c r="D856" s="8">
        <f>IF($C856="","",IFERROR(INDEX('Master Inventory'!$B:$B,MATCH($C856,'Master Inventory'!$A:$A,0)),""))</f>
        <v/>
      </c>
      <c r="E856" s="8">
        <f>IF($C856="","",IFERROR(INDEX('Master Inventory'!$C:$C,MATCH($C856,'Master Inventory'!$A:$A,0)),""))</f>
        <v/>
      </c>
      <c r="F856" s="5" t="n"/>
      <c r="G856" s="5" t="n"/>
    </row>
    <row r="857">
      <c r="A857" s="5" t="n"/>
      <c r="B857" s="12" t="n"/>
      <c r="C857" s="5" t="n"/>
      <c r="D857" s="8">
        <f>IF($C857="","",IFERROR(INDEX('Master Inventory'!$B:$B,MATCH($C857,'Master Inventory'!$A:$A,0)),""))</f>
        <v/>
      </c>
      <c r="E857" s="8">
        <f>IF($C857="","",IFERROR(INDEX('Master Inventory'!$C:$C,MATCH($C857,'Master Inventory'!$A:$A,0)),""))</f>
        <v/>
      </c>
      <c r="F857" s="5" t="n"/>
      <c r="G857" s="5" t="n"/>
    </row>
    <row r="858">
      <c r="A858" s="5" t="n"/>
      <c r="B858" s="12" t="n"/>
      <c r="C858" s="5" t="n"/>
      <c r="D858" s="8">
        <f>IF($C858="","",IFERROR(INDEX('Master Inventory'!$B:$B,MATCH($C858,'Master Inventory'!$A:$A,0)),""))</f>
        <v/>
      </c>
      <c r="E858" s="8">
        <f>IF($C858="","",IFERROR(INDEX('Master Inventory'!$C:$C,MATCH($C858,'Master Inventory'!$A:$A,0)),""))</f>
        <v/>
      </c>
      <c r="F858" s="5" t="n"/>
      <c r="G858" s="5" t="n"/>
    </row>
    <row r="859">
      <c r="A859" s="5" t="n"/>
      <c r="B859" s="12" t="n"/>
      <c r="C859" s="5" t="n"/>
      <c r="D859" s="8">
        <f>IF($C859="","",IFERROR(INDEX('Master Inventory'!$B:$B,MATCH($C859,'Master Inventory'!$A:$A,0)),""))</f>
        <v/>
      </c>
      <c r="E859" s="8">
        <f>IF($C859="","",IFERROR(INDEX('Master Inventory'!$C:$C,MATCH($C859,'Master Inventory'!$A:$A,0)),""))</f>
        <v/>
      </c>
      <c r="F859" s="5" t="n"/>
      <c r="G859" s="5" t="n"/>
    </row>
    <row r="860">
      <c r="A860" s="5" t="n"/>
      <c r="B860" s="12" t="n"/>
      <c r="C860" s="5" t="n"/>
      <c r="D860" s="8">
        <f>IF($C860="","",IFERROR(INDEX('Master Inventory'!$B:$B,MATCH($C860,'Master Inventory'!$A:$A,0)),""))</f>
        <v/>
      </c>
      <c r="E860" s="8">
        <f>IF($C860="","",IFERROR(INDEX('Master Inventory'!$C:$C,MATCH($C860,'Master Inventory'!$A:$A,0)),""))</f>
        <v/>
      </c>
      <c r="F860" s="5" t="n"/>
      <c r="G860" s="5" t="n"/>
    </row>
    <row r="861">
      <c r="A861" s="5" t="n"/>
      <c r="B861" s="12" t="n"/>
      <c r="C861" s="5" t="n"/>
      <c r="D861" s="8">
        <f>IF($C861="","",IFERROR(INDEX('Master Inventory'!$B:$B,MATCH($C861,'Master Inventory'!$A:$A,0)),""))</f>
        <v/>
      </c>
      <c r="E861" s="8">
        <f>IF($C861="","",IFERROR(INDEX('Master Inventory'!$C:$C,MATCH($C861,'Master Inventory'!$A:$A,0)),""))</f>
        <v/>
      </c>
      <c r="F861" s="5" t="n"/>
      <c r="G861" s="5" t="n"/>
    </row>
    <row r="862">
      <c r="A862" s="5" t="n"/>
      <c r="B862" s="12" t="n"/>
      <c r="C862" s="5" t="n"/>
      <c r="D862" s="8">
        <f>IF($C862="","",IFERROR(INDEX('Master Inventory'!$B:$B,MATCH($C862,'Master Inventory'!$A:$A,0)),""))</f>
        <v/>
      </c>
      <c r="E862" s="8">
        <f>IF($C862="","",IFERROR(INDEX('Master Inventory'!$C:$C,MATCH($C862,'Master Inventory'!$A:$A,0)),""))</f>
        <v/>
      </c>
      <c r="F862" s="5" t="n"/>
      <c r="G862" s="5" t="n"/>
    </row>
    <row r="863">
      <c r="A863" s="5" t="n"/>
      <c r="B863" s="12" t="n"/>
      <c r="C863" s="5" t="n"/>
      <c r="D863" s="8">
        <f>IF($C863="","",IFERROR(INDEX('Master Inventory'!$B:$B,MATCH($C863,'Master Inventory'!$A:$A,0)),""))</f>
        <v/>
      </c>
      <c r="E863" s="8">
        <f>IF($C863="","",IFERROR(INDEX('Master Inventory'!$C:$C,MATCH($C863,'Master Inventory'!$A:$A,0)),""))</f>
        <v/>
      </c>
      <c r="F863" s="5" t="n"/>
      <c r="G863" s="5" t="n"/>
    </row>
    <row r="864">
      <c r="A864" s="5" t="n"/>
      <c r="B864" s="12" t="n"/>
      <c r="C864" s="5" t="n"/>
      <c r="D864" s="8">
        <f>IF($C864="","",IFERROR(INDEX('Master Inventory'!$B:$B,MATCH($C864,'Master Inventory'!$A:$A,0)),""))</f>
        <v/>
      </c>
      <c r="E864" s="8">
        <f>IF($C864="","",IFERROR(INDEX('Master Inventory'!$C:$C,MATCH($C864,'Master Inventory'!$A:$A,0)),""))</f>
        <v/>
      </c>
      <c r="F864" s="5" t="n"/>
      <c r="G864" s="5" t="n"/>
    </row>
    <row r="865">
      <c r="A865" s="5" t="n"/>
      <c r="B865" s="12" t="n"/>
      <c r="C865" s="5" t="n"/>
      <c r="D865" s="8">
        <f>IF($C865="","",IFERROR(INDEX('Master Inventory'!$B:$B,MATCH($C865,'Master Inventory'!$A:$A,0)),""))</f>
        <v/>
      </c>
      <c r="E865" s="8">
        <f>IF($C865="","",IFERROR(INDEX('Master Inventory'!$C:$C,MATCH($C865,'Master Inventory'!$A:$A,0)),""))</f>
        <v/>
      </c>
      <c r="F865" s="5" t="n"/>
      <c r="G865" s="5" t="n"/>
    </row>
    <row r="866">
      <c r="A866" s="5" t="n"/>
      <c r="B866" s="12" t="n"/>
      <c r="C866" s="5" t="n"/>
      <c r="D866" s="8">
        <f>IF($C866="","",IFERROR(INDEX('Master Inventory'!$B:$B,MATCH($C866,'Master Inventory'!$A:$A,0)),""))</f>
        <v/>
      </c>
      <c r="E866" s="8">
        <f>IF($C866="","",IFERROR(INDEX('Master Inventory'!$C:$C,MATCH($C866,'Master Inventory'!$A:$A,0)),""))</f>
        <v/>
      </c>
      <c r="F866" s="5" t="n"/>
      <c r="G866" s="5" t="n"/>
    </row>
    <row r="867">
      <c r="A867" s="5" t="n"/>
      <c r="B867" s="12" t="n"/>
      <c r="C867" s="5" t="n"/>
      <c r="D867" s="8">
        <f>IF($C867="","",IFERROR(INDEX('Master Inventory'!$B:$B,MATCH($C867,'Master Inventory'!$A:$A,0)),""))</f>
        <v/>
      </c>
      <c r="E867" s="8">
        <f>IF($C867="","",IFERROR(INDEX('Master Inventory'!$C:$C,MATCH($C867,'Master Inventory'!$A:$A,0)),""))</f>
        <v/>
      </c>
      <c r="F867" s="5" t="n"/>
      <c r="G867" s="5" t="n"/>
    </row>
    <row r="868">
      <c r="A868" s="5" t="n"/>
      <c r="B868" s="12" t="n"/>
      <c r="C868" s="5" t="n"/>
      <c r="D868" s="8">
        <f>IF($C868="","",IFERROR(INDEX('Master Inventory'!$B:$B,MATCH($C868,'Master Inventory'!$A:$A,0)),""))</f>
        <v/>
      </c>
      <c r="E868" s="8">
        <f>IF($C868="","",IFERROR(INDEX('Master Inventory'!$C:$C,MATCH($C868,'Master Inventory'!$A:$A,0)),""))</f>
        <v/>
      </c>
      <c r="F868" s="5" t="n"/>
      <c r="G868" s="5" t="n"/>
    </row>
    <row r="869">
      <c r="A869" s="5" t="n"/>
      <c r="B869" s="12" t="n"/>
      <c r="C869" s="5" t="n"/>
      <c r="D869" s="8">
        <f>IF($C869="","",IFERROR(INDEX('Master Inventory'!$B:$B,MATCH($C869,'Master Inventory'!$A:$A,0)),""))</f>
        <v/>
      </c>
      <c r="E869" s="8">
        <f>IF($C869="","",IFERROR(INDEX('Master Inventory'!$C:$C,MATCH($C869,'Master Inventory'!$A:$A,0)),""))</f>
        <v/>
      </c>
      <c r="F869" s="5" t="n"/>
      <c r="G869" s="5" t="n"/>
    </row>
    <row r="870">
      <c r="A870" s="5" t="n"/>
      <c r="B870" s="12" t="n"/>
      <c r="C870" s="5" t="n"/>
      <c r="D870" s="8">
        <f>IF($C870="","",IFERROR(INDEX('Master Inventory'!$B:$B,MATCH($C870,'Master Inventory'!$A:$A,0)),""))</f>
        <v/>
      </c>
      <c r="E870" s="8">
        <f>IF($C870="","",IFERROR(INDEX('Master Inventory'!$C:$C,MATCH($C870,'Master Inventory'!$A:$A,0)),""))</f>
        <v/>
      </c>
      <c r="F870" s="5" t="n"/>
      <c r="G870" s="5" t="n"/>
    </row>
    <row r="871">
      <c r="A871" s="5" t="n"/>
      <c r="B871" s="12" t="n"/>
      <c r="C871" s="5" t="n"/>
      <c r="D871" s="8">
        <f>IF($C871="","",IFERROR(INDEX('Master Inventory'!$B:$B,MATCH($C871,'Master Inventory'!$A:$A,0)),""))</f>
        <v/>
      </c>
      <c r="E871" s="8">
        <f>IF($C871="","",IFERROR(INDEX('Master Inventory'!$C:$C,MATCH($C871,'Master Inventory'!$A:$A,0)),""))</f>
        <v/>
      </c>
      <c r="F871" s="5" t="n"/>
      <c r="G871" s="5" t="n"/>
    </row>
    <row r="872">
      <c r="A872" s="5" t="n"/>
      <c r="B872" s="12" t="n"/>
      <c r="C872" s="5" t="n"/>
      <c r="D872" s="8">
        <f>IF($C872="","",IFERROR(INDEX('Master Inventory'!$B:$B,MATCH($C872,'Master Inventory'!$A:$A,0)),""))</f>
        <v/>
      </c>
      <c r="E872" s="8">
        <f>IF($C872="","",IFERROR(INDEX('Master Inventory'!$C:$C,MATCH($C872,'Master Inventory'!$A:$A,0)),""))</f>
        <v/>
      </c>
      <c r="F872" s="5" t="n"/>
      <c r="G872" s="5" t="n"/>
    </row>
    <row r="873">
      <c r="A873" s="5" t="n"/>
      <c r="B873" s="12" t="n"/>
      <c r="C873" s="5" t="n"/>
      <c r="D873" s="8">
        <f>IF($C873="","",IFERROR(INDEX('Master Inventory'!$B:$B,MATCH($C873,'Master Inventory'!$A:$A,0)),""))</f>
        <v/>
      </c>
      <c r="E873" s="8">
        <f>IF($C873="","",IFERROR(INDEX('Master Inventory'!$C:$C,MATCH($C873,'Master Inventory'!$A:$A,0)),""))</f>
        <v/>
      </c>
      <c r="F873" s="5" t="n"/>
      <c r="G873" s="5" t="n"/>
    </row>
    <row r="874">
      <c r="A874" s="5" t="n"/>
      <c r="B874" s="12" t="n"/>
      <c r="C874" s="5" t="n"/>
      <c r="D874" s="8">
        <f>IF($C874="","",IFERROR(INDEX('Master Inventory'!$B:$B,MATCH($C874,'Master Inventory'!$A:$A,0)),""))</f>
        <v/>
      </c>
      <c r="E874" s="8">
        <f>IF($C874="","",IFERROR(INDEX('Master Inventory'!$C:$C,MATCH($C874,'Master Inventory'!$A:$A,0)),""))</f>
        <v/>
      </c>
      <c r="F874" s="5" t="n"/>
      <c r="G874" s="5" t="n"/>
    </row>
    <row r="875">
      <c r="A875" s="5" t="n"/>
      <c r="B875" s="12" t="n"/>
      <c r="C875" s="5" t="n"/>
      <c r="D875" s="8">
        <f>IF($C875="","",IFERROR(INDEX('Master Inventory'!$B:$B,MATCH($C875,'Master Inventory'!$A:$A,0)),""))</f>
        <v/>
      </c>
      <c r="E875" s="8">
        <f>IF($C875="","",IFERROR(INDEX('Master Inventory'!$C:$C,MATCH($C875,'Master Inventory'!$A:$A,0)),""))</f>
        <v/>
      </c>
      <c r="F875" s="5" t="n"/>
      <c r="G875" s="5" t="n"/>
    </row>
    <row r="876">
      <c r="A876" s="5" t="n"/>
      <c r="B876" s="12" t="n"/>
      <c r="C876" s="5" t="n"/>
      <c r="D876" s="8">
        <f>IF($C876="","",IFERROR(INDEX('Master Inventory'!$B:$B,MATCH($C876,'Master Inventory'!$A:$A,0)),""))</f>
        <v/>
      </c>
      <c r="E876" s="8">
        <f>IF($C876="","",IFERROR(INDEX('Master Inventory'!$C:$C,MATCH($C876,'Master Inventory'!$A:$A,0)),""))</f>
        <v/>
      </c>
      <c r="F876" s="5" t="n"/>
      <c r="G876" s="5" t="n"/>
    </row>
    <row r="877">
      <c r="A877" s="5" t="n"/>
      <c r="B877" s="12" t="n"/>
      <c r="C877" s="5" t="n"/>
      <c r="D877" s="8">
        <f>IF($C877="","",IFERROR(INDEX('Master Inventory'!$B:$B,MATCH($C877,'Master Inventory'!$A:$A,0)),""))</f>
        <v/>
      </c>
      <c r="E877" s="8">
        <f>IF($C877="","",IFERROR(INDEX('Master Inventory'!$C:$C,MATCH($C877,'Master Inventory'!$A:$A,0)),""))</f>
        <v/>
      </c>
      <c r="F877" s="5" t="n"/>
      <c r="G877" s="5" t="n"/>
    </row>
    <row r="878">
      <c r="A878" s="5" t="n"/>
      <c r="B878" s="12" t="n"/>
      <c r="C878" s="5" t="n"/>
      <c r="D878" s="8">
        <f>IF($C878="","",IFERROR(INDEX('Master Inventory'!$B:$B,MATCH($C878,'Master Inventory'!$A:$A,0)),""))</f>
        <v/>
      </c>
      <c r="E878" s="8">
        <f>IF($C878="","",IFERROR(INDEX('Master Inventory'!$C:$C,MATCH($C878,'Master Inventory'!$A:$A,0)),""))</f>
        <v/>
      </c>
      <c r="F878" s="5" t="n"/>
      <c r="G878" s="5" t="n"/>
    </row>
    <row r="879">
      <c r="A879" s="5" t="n"/>
      <c r="B879" s="12" t="n"/>
      <c r="C879" s="5" t="n"/>
      <c r="D879" s="8">
        <f>IF($C879="","",IFERROR(INDEX('Master Inventory'!$B:$B,MATCH($C879,'Master Inventory'!$A:$A,0)),""))</f>
        <v/>
      </c>
      <c r="E879" s="8">
        <f>IF($C879="","",IFERROR(INDEX('Master Inventory'!$C:$C,MATCH($C879,'Master Inventory'!$A:$A,0)),""))</f>
        <v/>
      </c>
      <c r="F879" s="5" t="n"/>
      <c r="G879" s="5" t="n"/>
    </row>
    <row r="880">
      <c r="A880" s="5" t="n"/>
      <c r="B880" s="12" t="n"/>
      <c r="C880" s="5" t="n"/>
      <c r="D880" s="8">
        <f>IF($C880="","",IFERROR(INDEX('Master Inventory'!$B:$B,MATCH($C880,'Master Inventory'!$A:$A,0)),""))</f>
        <v/>
      </c>
      <c r="E880" s="8">
        <f>IF($C880="","",IFERROR(INDEX('Master Inventory'!$C:$C,MATCH($C880,'Master Inventory'!$A:$A,0)),""))</f>
        <v/>
      </c>
      <c r="F880" s="5" t="n"/>
      <c r="G880" s="5" t="n"/>
    </row>
    <row r="881">
      <c r="A881" s="5" t="n"/>
      <c r="B881" s="12" t="n"/>
      <c r="C881" s="5" t="n"/>
      <c r="D881" s="8">
        <f>IF($C881="","",IFERROR(INDEX('Master Inventory'!$B:$B,MATCH($C881,'Master Inventory'!$A:$A,0)),""))</f>
        <v/>
      </c>
      <c r="E881" s="8">
        <f>IF($C881="","",IFERROR(INDEX('Master Inventory'!$C:$C,MATCH($C881,'Master Inventory'!$A:$A,0)),""))</f>
        <v/>
      </c>
      <c r="F881" s="5" t="n"/>
      <c r="G881" s="5" t="n"/>
    </row>
    <row r="882">
      <c r="A882" s="5" t="n"/>
      <c r="B882" s="12" t="n"/>
      <c r="C882" s="5" t="n"/>
      <c r="D882" s="8">
        <f>IF($C882="","",IFERROR(INDEX('Master Inventory'!$B:$B,MATCH($C882,'Master Inventory'!$A:$A,0)),""))</f>
        <v/>
      </c>
      <c r="E882" s="8">
        <f>IF($C882="","",IFERROR(INDEX('Master Inventory'!$C:$C,MATCH($C882,'Master Inventory'!$A:$A,0)),""))</f>
        <v/>
      </c>
      <c r="F882" s="5" t="n"/>
      <c r="G882" s="5" t="n"/>
    </row>
    <row r="883">
      <c r="A883" s="5" t="n"/>
      <c r="B883" s="12" t="n"/>
      <c r="C883" s="5" t="n"/>
      <c r="D883" s="8">
        <f>IF($C883="","",IFERROR(INDEX('Master Inventory'!$B:$B,MATCH($C883,'Master Inventory'!$A:$A,0)),""))</f>
        <v/>
      </c>
      <c r="E883" s="8">
        <f>IF($C883="","",IFERROR(INDEX('Master Inventory'!$C:$C,MATCH($C883,'Master Inventory'!$A:$A,0)),""))</f>
        <v/>
      </c>
      <c r="F883" s="5" t="n"/>
      <c r="G883" s="5" t="n"/>
    </row>
    <row r="884">
      <c r="A884" s="5" t="n"/>
      <c r="B884" s="12" t="n"/>
      <c r="C884" s="5" t="n"/>
      <c r="D884" s="8">
        <f>IF($C884="","",IFERROR(INDEX('Master Inventory'!$B:$B,MATCH($C884,'Master Inventory'!$A:$A,0)),""))</f>
        <v/>
      </c>
      <c r="E884" s="8">
        <f>IF($C884="","",IFERROR(INDEX('Master Inventory'!$C:$C,MATCH($C884,'Master Inventory'!$A:$A,0)),""))</f>
        <v/>
      </c>
      <c r="F884" s="5" t="n"/>
      <c r="G884" s="5" t="n"/>
    </row>
    <row r="885">
      <c r="A885" s="5" t="n"/>
      <c r="B885" s="12" t="n"/>
      <c r="C885" s="5" t="n"/>
      <c r="D885" s="8">
        <f>IF($C885="","",IFERROR(INDEX('Master Inventory'!$B:$B,MATCH($C885,'Master Inventory'!$A:$A,0)),""))</f>
        <v/>
      </c>
      <c r="E885" s="8">
        <f>IF($C885="","",IFERROR(INDEX('Master Inventory'!$C:$C,MATCH($C885,'Master Inventory'!$A:$A,0)),""))</f>
        <v/>
      </c>
      <c r="F885" s="5" t="n"/>
      <c r="G885" s="5" t="n"/>
    </row>
    <row r="886">
      <c r="A886" s="5" t="n"/>
      <c r="B886" s="12" t="n"/>
      <c r="C886" s="5" t="n"/>
      <c r="D886" s="8">
        <f>IF($C886="","",IFERROR(INDEX('Master Inventory'!$B:$B,MATCH($C886,'Master Inventory'!$A:$A,0)),""))</f>
        <v/>
      </c>
      <c r="E886" s="8">
        <f>IF($C886="","",IFERROR(INDEX('Master Inventory'!$C:$C,MATCH($C886,'Master Inventory'!$A:$A,0)),""))</f>
        <v/>
      </c>
      <c r="F886" s="5" t="n"/>
      <c r="G886" s="5" t="n"/>
    </row>
    <row r="887">
      <c r="A887" s="5" t="n"/>
      <c r="B887" s="12" t="n"/>
      <c r="C887" s="5" t="n"/>
      <c r="D887" s="8">
        <f>IF($C887="","",IFERROR(INDEX('Master Inventory'!$B:$B,MATCH($C887,'Master Inventory'!$A:$A,0)),""))</f>
        <v/>
      </c>
      <c r="E887" s="8">
        <f>IF($C887="","",IFERROR(INDEX('Master Inventory'!$C:$C,MATCH($C887,'Master Inventory'!$A:$A,0)),""))</f>
        <v/>
      </c>
      <c r="F887" s="5" t="n"/>
      <c r="G887" s="5" t="n"/>
    </row>
    <row r="888">
      <c r="A888" s="5" t="n"/>
      <c r="B888" s="12" t="n"/>
      <c r="C888" s="5" t="n"/>
      <c r="D888" s="8">
        <f>IF($C888="","",IFERROR(INDEX('Master Inventory'!$B:$B,MATCH($C888,'Master Inventory'!$A:$A,0)),""))</f>
        <v/>
      </c>
      <c r="E888" s="8">
        <f>IF($C888="","",IFERROR(INDEX('Master Inventory'!$C:$C,MATCH($C888,'Master Inventory'!$A:$A,0)),""))</f>
        <v/>
      </c>
      <c r="F888" s="5" t="n"/>
      <c r="G888" s="5" t="n"/>
    </row>
    <row r="889">
      <c r="A889" s="5" t="n"/>
      <c r="B889" s="12" t="n"/>
      <c r="C889" s="5" t="n"/>
      <c r="D889" s="8">
        <f>IF($C889="","",IFERROR(INDEX('Master Inventory'!$B:$B,MATCH($C889,'Master Inventory'!$A:$A,0)),""))</f>
        <v/>
      </c>
      <c r="E889" s="8">
        <f>IF($C889="","",IFERROR(INDEX('Master Inventory'!$C:$C,MATCH($C889,'Master Inventory'!$A:$A,0)),""))</f>
        <v/>
      </c>
      <c r="F889" s="5" t="n"/>
      <c r="G889" s="5" t="n"/>
    </row>
    <row r="890">
      <c r="A890" s="5" t="n"/>
      <c r="B890" s="12" t="n"/>
      <c r="C890" s="5" t="n"/>
      <c r="D890" s="8">
        <f>IF($C890="","",IFERROR(INDEX('Master Inventory'!$B:$B,MATCH($C890,'Master Inventory'!$A:$A,0)),""))</f>
        <v/>
      </c>
      <c r="E890" s="8">
        <f>IF($C890="","",IFERROR(INDEX('Master Inventory'!$C:$C,MATCH($C890,'Master Inventory'!$A:$A,0)),""))</f>
        <v/>
      </c>
      <c r="F890" s="5" t="n"/>
      <c r="G890" s="5" t="n"/>
    </row>
    <row r="891">
      <c r="A891" s="5" t="n"/>
      <c r="B891" s="12" t="n"/>
      <c r="C891" s="5" t="n"/>
      <c r="D891" s="8">
        <f>IF($C891="","",IFERROR(INDEX('Master Inventory'!$B:$B,MATCH($C891,'Master Inventory'!$A:$A,0)),""))</f>
        <v/>
      </c>
      <c r="E891" s="8">
        <f>IF($C891="","",IFERROR(INDEX('Master Inventory'!$C:$C,MATCH($C891,'Master Inventory'!$A:$A,0)),""))</f>
        <v/>
      </c>
      <c r="F891" s="5" t="n"/>
      <c r="G891" s="5" t="n"/>
    </row>
    <row r="892">
      <c r="A892" s="5" t="n"/>
      <c r="B892" s="12" t="n"/>
      <c r="C892" s="5" t="n"/>
      <c r="D892" s="8">
        <f>IF($C892="","",IFERROR(INDEX('Master Inventory'!$B:$B,MATCH($C892,'Master Inventory'!$A:$A,0)),""))</f>
        <v/>
      </c>
      <c r="E892" s="8">
        <f>IF($C892="","",IFERROR(INDEX('Master Inventory'!$C:$C,MATCH($C892,'Master Inventory'!$A:$A,0)),""))</f>
        <v/>
      </c>
      <c r="F892" s="5" t="n"/>
      <c r="G892" s="5" t="n"/>
    </row>
    <row r="893">
      <c r="A893" s="5" t="n"/>
      <c r="B893" s="12" t="n"/>
      <c r="C893" s="5" t="n"/>
      <c r="D893" s="8">
        <f>IF($C893="","",IFERROR(INDEX('Master Inventory'!$B:$B,MATCH($C893,'Master Inventory'!$A:$A,0)),""))</f>
        <v/>
      </c>
      <c r="E893" s="8">
        <f>IF($C893="","",IFERROR(INDEX('Master Inventory'!$C:$C,MATCH($C893,'Master Inventory'!$A:$A,0)),""))</f>
        <v/>
      </c>
      <c r="F893" s="5" t="n"/>
      <c r="G893" s="5" t="n"/>
    </row>
    <row r="894">
      <c r="A894" s="5" t="n"/>
      <c r="B894" s="12" t="n"/>
      <c r="C894" s="5" t="n"/>
      <c r="D894" s="8">
        <f>IF($C894="","",IFERROR(INDEX('Master Inventory'!$B:$B,MATCH($C894,'Master Inventory'!$A:$A,0)),""))</f>
        <v/>
      </c>
      <c r="E894" s="8">
        <f>IF($C894="","",IFERROR(INDEX('Master Inventory'!$C:$C,MATCH($C894,'Master Inventory'!$A:$A,0)),""))</f>
        <v/>
      </c>
      <c r="F894" s="5" t="n"/>
      <c r="G894" s="5" t="n"/>
    </row>
    <row r="895">
      <c r="A895" s="5" t="n"/>
      <c r="B895" s="12" t="n"/>
      <c r="C895" s="5" t="n"/>
      <c r="D895" s="8">
        <f>IF($C895="","",IFERROR(INDEX('Master Inventory'!$B:$B,MATCH($C895,'Master Inventory'!$A:$A,0)),""))</f>
        <v/>
      </c>
      <c r="E895" s="8">
        <f>IF($C895="","",IFERROR(INDEX('Master Inventory'!$C:$C,MATCH($C895,'Master Inventory'!$A:$A,0)),""))</f>
        <v/>
      </c>
      <c r="F895" s="5" t="n"/>
      <c r="G895" s="5" t="n"/>
    </row>
    <row r="896">
      <c r="A896" s="5" t="n"/>
      <c r="B896" s="12" t="n"/>
      <c r="C896" s="5" t="n"/>
      <c r="D896" s="8">
        <f>IF($C896="","",IFERROR(INDEX('Master Inventory'!$B:$B,MATCH($C896,'Master Inventory'!$A:$A,0)),""))</f>
        <v/>
      </c>
      <c r="E896" s="8">
        <f>IF($C896="","",IFERROR(INDEX('Master Inventory'!$C:$C,MATCH($C896,'Master Inventory'!$A:$A,0)),""))</f>
        <v/>
      </c>
      <c r="F896" s="5" t="n"/>
      <c r="G896" s="5" t="n"/>
    </row>
    <row r="897">
      <c r="A897" s="5" t="n"/>
      <c r="B897" s="12" t="n"/>
      <c r="C897" s="5" t="n"/>
      <c r="D897" s="8">
        <f>IF($C897="","",IFERROR(INDEX('Master Inventory'!$B:$B,MATCH($C897,'Master Inventory'!$A:$A,0)),""))</f>
        <v/>
      </c>
      <c r="E897" s="8">
        <f>IF($C897="","",IFERROR(INDEX('Master Inventory'!$C:$C,MATCH($C897,'Master Inventory'!$A:$A,0)),""))</f>
        <v/>
      </c>
      <c r="F897" s="5" t="n"/>
      <c r="G897" s="5" t="n"/>
    </row>
    <row r="898">
      <c r="A898" s="5" t="n"/>
      <c r="B898" s="12" t="n"/>
      <c r="C898" s="5" t="n"/>
      <c r="D898" s="8">
        <f>IF($C898="","",IFERROR(INDEX('Master Inventory'!$B:$B,MATCH($C898,'Master Inventory'!$A:$A,0)),""))</f>
        <v/>
      </c>
      <c r="E898" s="8">
        <f>IF($C898="","",IFERROR(INDEX('Master Inventory'!$C:$C,MATCH($C898,'Master Inventory'!$A:$A,0)),""))</f>
        <v/>
      </c>
      <c r="F898" s="5" t="n"/>
      <c r="G898" s="5" t="n"/>
    </row>
    <row r="899">
      <c r="A899" s="5" t="n"/>
      <c r="B899" s="12" t="n"/>
      <c r="C899" s="5" t="n"/>
      <c r="D899" s="8">
        <f>IF($C899="","",IFERROR(INDEX('Master Inventory'!$B:$B,MATCH($C899,'Master Inventory'!$A:$A,0)),""))</f>
        <v/>
      </c>
      <c r="E899" s="8">
        <f>IF($C899="","",IFERROR(INDEX('Master Inventory'!$C:$C,MATCH($C899,'Master Inventory'!$A:$A,0)),""))</f>
        <v/>
      </c>
      <c r="F899" s="5" t="n"/>
      <c r="G899" s="5" t="n"/>
    </row>
    <row r="900">
      <c r="A900" s="5" t="n"/>
      <c r="B900" s="12" t="n"/>
      <c r="C900" s="5" t="n"/>
      <c r="D900" s="8">
        <f>IF($C900="","",IFERROR(INDEX('Master Inventory'!$B:$B,MATCH($C900,'Master Inventory'!$A:$A,0)),""))</f>
        <v/>
      </c>
      <c r="E900" s="8">
        <f>IF($C900="","",IFERROR(INDEX('Master Inventory'!$C:$C,MATCH($C900,'Master Inventory'!$A:$A,0)),""))</f>
        <v/>
      </c>
      <c r="F900" s="5" t="n"/>
      <c r="G900" s="5" t="n"/>
    </row>
    <row r="901">
      <c r="A901" s="5" t="n"/>
      <c r="B901" s="12" t="n"/>
      <c r="C901" s="5" t="n"/>
      <c r="D901" s="8">
        <f>IF($C901="","",IFERROR(INDEX('Master Inventory'!$B:$B,MATCH($C901,'Master Inventory'!$A:$A,0)),""))</f>
        <v/>
      </c>
      <c r="E901" s="8">
        <f>IF($C901="","",IFERROR(INDEX('Master Inventory'!$C:$C,MATCH($C901,'Master Inventory'!$A:$A,0)),""))</f>
        <v/>
      </c>
      <c r="F901" s="5" t="n"/>
      <c r="G901" s="5" t="n"/>
    </row>
    <row r="902">
      <c r="A902" s="5" t="n"/>
      <c r="B902" s="12" t="n"/>
      <c r="C902" s="5" t="n"/>
      <c r="D902" s="8">
        <f>IF($C902="","",IFERROR(INDEX('Master Inventory'!$B:$B,MATCH($C902,'Master Inventory'!$A:$A,0)),""))</f>
        <v/>
      </c>
      <c r="E902" s="8">
        <f>IF($C902="","",IFERROR(INDEX('Master Inventory'!$C:$C,MATCH($C902,'Master Inventory'!$A:$A,0)),""))</f>
        <v/>
      </c>
      <c r="F902" s="5" t="n"/>
      <c r="G902" s="5" t="n"/>
    </row>
    <row r="903">
      <c r="A903" s="5" t="n"/>
      <c r="B903" s="12" t="n"/>
      <c r="C903" s="5" t="n"/>
      <c r="D903" s="8">
        <f>IF($C903="","",IFERROR(INDEX('Master Inventory'!$B:$B,MATCH($C903,'Master Inventory'!$A:$A,0)),""))</f>
        <v/>
      </c>
      <c r="E903" s="8">
        <f>IF($C903="","",IFERROR(INDEX('Master Inventory'!$C:$C,MATCH($C903,'Master Inventory'!$A:$A,0)),""))</f>
        <v/>
      </c>
      <c r="F903" s="5" t="n"/>
      <c r="G903" s="5" t="n"/>
    </row>
    <row r="904">
      <c r="A904" s="5" t="n"/>
      <c r="B904" s="12" t="n"/>
      <c r="C904" s="5" t="n"/>
      <c r="D904" s="8">
        <f>IF($C904="","",IFERROR(INDEX('Master Inventory'!$B:$B,MATCH($C904,'Master Inventory'!$A:$A,0)),""))</f>
        <v/>
      </c>
      <c r="E904" s="8">
        <f>IF($C904="","",IFERROR(INDEX('Master Inventory'!$C:$C,MATCH($C904,'Master Inventory'!$A:$A,0)),""))</f>
        <v/>
      </c>
      <c r="F904" s="5" t="n"/>
      <c r="G904" s="5" t="n"/>
    </row>
    <row r="905">
      <c r="A905" s="5" t="n"/>
      <c r="B905" s="12" t="n"/>
      <c r="C905" s="5" t="n"/>
      <c r="D905" s="8">
        <f>IF($C905="","",IFERROR(INDEX('Master Inventory'!$B:$B,MATCH($C905,'Master Inventory'!$A:$A,0)),""))</f>
        <v/>
      </c>
      <c r="E905" s="8">
        <f>IF($C905="","",IFERROR(INDEX('Master Inventory'!$C:$C,MATCH($C905,'Master Inventory'!$A:$A,0)),""))</f>
        <v/>
      </c>
      <c r="F905" s="5" t="n"/>
      <c r="G905" s="5" t="n"/>
    </row>
    <row r="906">
      <c r="A906" s="5" t="n"/>
      <c r="B906" s="12" t="n"/>
      <c r="C906" s="5" t="n"/>
      <c r="D906" s="8">
        <f>IF($C906="","",IFERROR(INDEX('Master Inventory'!$B:$B,MATCH($C906,'Master Inventory'!$A:$A,0)),""))</f>
        <v/>
      </c>
      <c r="E906" s="8">
        <f>IF($C906="","",IFERROR(INDEX('Master Inventory'!$C:$C,MATCH($C906,'Master Inventory'!$A:$A,0)),""))</f>
        <v/>
      </c>
      <c r="F906" s="5" t="n"/>
      <c r="G906" s="5" t="n"/>
    </row>
    <row r="907">
      <c r="A907" s="5" t="n"/>
      <c r="B907" s="12" t="n"/>
      <c r="C907" s="5" t="n"/>
      <c r="D907" s="8">
        <f>IF($C907="","",IFERROR(INDEX('Master Inventory'!$B:$B,MATCH($C907,'Master Inventory'!$A:$A,0)),""))</f>
        <v/>
      </c>
      <c r="E907" s="8">
        <f>IF($C907="","",IFERROR(INDEX('Master Inventory'!$C:$C,MATCH($C907,'Master Inventory'!$A:$A,0)),""))</f>
        <v/>
      </c>
      <c r="F907" s="5" t="n"/>
      <c r="G907" s="5" t="n"/>
    </row>
    <row r="908">
      <c r="A908" s="5" t="n"/>
      <c r="B908" s="12" t="n"/>
      <c r="C908" s="5" t="n"/>
      <c r="D908" s="8">
        <f>IF($C908="","",IFERROR(INDEX('Master Inventory'!$B:$B,MATCH($C908,'Master Inventory'!$A:$A,0)),""))</f>
        <v/>
      </c>
      <c r="E908" s="8">
        <f>IF($C908="","",IFERROR(INDEX('Master Inventory'!$C:$C,MATCH($C908,'Master Inventory'!$A:$A,0)),""))</f>
        <v/>
      </c>
      <c r="F908" s="5" t="n"/>
      <c r="G908" s="5" t="n"/>
    </row>
    <row r="909">
      <c r="A909" s="5" t="n"/>
      <c r="B909" s="12" t="n"/>
      <c r="C909" s="5" t="n"/>
      <c r="D909" s="8">
        <f>IF($C909="","",IFERROR(INDEX('Master Inventory'!$B:$B,MATCH($C909,'Master Inventory'!$A:$A,0)),""))</f>
        <v/>
      </c>
      <c r="E909" s="8">
        <f>IF($C909="","",IFERROR(INDEX('Master Inventory'!$C:$C,MATCH($C909,'Master Inventory'!$A:$A,0)),""))</f>
        <v/>
      </c>
      <c r="F909" s="5" t="n"/>
      <c r="G909" s="5" t="n"/>
    </row>
    <row r="910">
      <c r="A910" s="5" t="n"/>
      <c r="B910" s="12" t="n"/>
      <c r="C910" s="5" t="n"/>
      <c r="D910" s="8">
        <f>IF($C910="","",IFERROR(INDEX('Master Inventory'!$B:$B,MATCH($C910,'Master Inventory'!$A:$A,0)),""))</f>
        <v/>
      </c>
      <c r="E910" s="8">
        <f>IF($C910="","",IFERROR(INDEX('Master Inventory'!$C:$C,MATCH($C910,'Master Inventory'!$A:$A,0)),""))</f>
        <v/>
      </c>
      <c r="F910" s="5" t="n"/>
      <c r="G910" s="5" t="n"/>
    </row>
    <row r="911">
      <c r="A911" s="5" t="n"/>
      <c r="B911" s="12" t="n"/>
      <c r="C911" s="5" t="n"/>
      <c r="D911" s="8">
        <f>IF($C911="","",IFERROR(INDEX('Master Inventory'!$B:$B,MATCH($C911,'Master Inventory'!$A:$A,0)),""))</f>
        <v/>
      </c>
      <c r="E911" s="8">
        <f>IF($C911="","",IFERROR(INDEX('Master Inventory'!$C:$C,MATCH($C911,'Master Inventory'!$A:$A,0)),""))</f>
        <v/>
      </c>
      <c r="F911" s="5" t="n"/>
      <c r="G911" s="5" t="n"/>
    </row>
    <row r="912">
      <c r="A912" s="5" t="n"/>
      <c r="B912" s="12" t="n"/>
      <c r="C912" s="5" t="n"/>
      <c r="D912" s="8">
        <f>IF($C912="","",IFERROR(INDEX('Master Inventory'!$B:$B,MATCH($C912,'Master Inventory'!$A:$A,0)),""))</f>
        <v/>
      </c>
      <c r="E912" s="8">
        <f>IF($C912="","",IFERROR(INDEX('Master Inventory'!$C:$C,MATCH($C912,'Master Inventory'!$A:$A,0)),""))</f>
        <v/>
      </c>
      <c r="F912" s="5" t="n"/>
      <c r="G912" s="5" t="n"/>
    </row>
    <row r="913">
      <c r="A913" s="5" t="n"/>
      <c r="B913" s="12" t="n"/>
      <c r="C913" s="5" t="n"/>
      <c r="D913" s="8">
        <f>IF($C913="","",IFERROR(INDEX('Master Inventory'!$B:$B,MATCH($C913,'Master Inventory'!$A:$A,0)),""))</f>
        <v/>
      </c>
      <c r="E913" s="8">
        <f>IF($C913="","",IFERROR(INDEX('Master Inventory'!$C:$C,MATCH($C913,'Master Inventory'!$A:$A,0)),""))</f>
        <v/>
      </c>
      <c r="F913" s="5" t="n"/>
      <c r="G913" s="5" t="n"/>
    </row>
    <row r="914">
      <c r="A914" s="5" t="n"/>
      <c r="B914" s="12" t="n"/>
      <c r="C914" s="5" t="n"/>
      <c r="D914" s="8">
        <f>IF($C914="","",IFERROR(INDEX('Master Inventory'!$B:$B,MATCH($C914,'Master Inventory'!$A:$A,0)),""))</f>
        <v/>
      </c>
      <c r="E914" s="8">
        <f>IF($C914="","",IFERROR(INDEX('Master Inventory'!$C:$C,MATCH($C914,'Master Inventory'!$A:$A,0)),""))</f>
        <v/>
      </c>
      <c r="F914" s="5" t="n"/>
      <c r="G914" s="5" t="n"/>
    </row>
    <row r="915">
      <c r="A915" s="5" t="n"/>
      <c r="B915" s="12" t="n"/>
      <c r="C915" s="5" t="n"/>
      <c r="D915" s="8">
        <f>IF($C915="","",IFERROR(INDEX('Master Inventory'!$B:$B,MATCH($C915,'Master Inventory'!$A:$A,0)),""))</f>
        <v/>
      </c>
      <c r="E915" s="8">
        <f>IF($C915="","",IFERROR(INDEX('Master Inventory'!$C:$C,MATCH($C915,'Master Inventory'!$A:$A,0)),""))</f>
        <v/>
      </c>
      <c r="F915" s="5" t="n"/>
      <c r="G915" s="5" t="n"/>
    </row>
    <row r="916">
      <c r="A916" s="5" t="n"/>
      <c r="B916" s="12" t="n"/>
      <c r="C916" s="5" t="n"/>
      <c r="D916" s="8">
        <f>IF($C916="","",IFERROR(INDEX('Master Inventory'!$B:$B,MATCH($C916,'Master Inventory'!$A:$A,0)),""))</f>
        <v/>
      </c>
      <c r="E916" s="8">
        <f>IF($C916="","",IFERROR(INDEX('Master Inventory'!$C:$C,MATCH($C916,'Master Inventory'!$A:$A,0)),""))</f>
        <v/>
      </c>
      <c r="F916" s="5" t="n"/>
      <c r="G916" s="5" t="n"/>
    </row>
    <row r="917">
      <c r="A917" s="5" t="n"/>
      <c r="B917" s="12" t="n"/>
      <c r="C917" s="5" t="n"/>
      <c r="D917" s="8">
        <f>IF($C917="","",IFERROR(INDEX('Master Inventory'!$B:$B,MATCH($C917,'Master Inventory'!$A:$A,0)),""))</f>
        <v/>
      </c>
      <c r="E917" s="8">
        <f>IF($C917="","",IFERROR(INDEX('Master Inventory'!$C:$C,MATCH($C917,'Master Inventory'!$A:$A,0)),""))</f>
        <v/>
      </c>
      <c r="F917" s="5" t="n"/>
      <c r="G917" s="5" t="n"/>
    </row>
    <row r="918">
      <c r="A918" s="5" t="n"/>
      <c r="B918" s="12" t="n"/>
      <c r="C918" s="5" t="n"/>
      <c r="D918" s="8">
        <f>IF($C918="","",IFERROR(INDEX('Master Inventory'!$B:$B,MATCH($C918,'Master Inventory'!$A:$A,0)),""))</f>
        <v/>
      </c>
      <c r="E918" s="8">
        <f>IF($C918="","",IFERROR(INDEX('Master Inventory'!$C:$C,MATCH($C918,'Master Inventory'!$A:$A,0)),""))</f>
        <v/>
      </c>
      <c r="F918" s="5" t="n"/>
      <c r="G918" s="5" t="n"/>
    </row>
    <row r="919">
      <c r="A919" s="5" t="n"/>
      <c r="B919" s="12" t="n"/>
      <c r="C919" s="5" t="n"/>
      <c r="D919" s="8">
        <f>IF($C919="","",IFERROR(INDEX('Master Inventory'!$B:$B,MATCH($C919,'Master Inventory'!$A:$A,0)),""))</f>
        <v/>
      </c>
      <c r="E919" s="8">
        <f>IF($C919="","",IFERROR(INDEX('Master Inventory'!$C:$C,MATCH($C919,'Master Inventory'!$A:$A,0)),""))</f>
        <v/>
      </c>
      <c r="F919" s="5" t="n"/>
      <c r="G919" s="5" t="n"/>
    </row>
    <row r="920">
      <c r="A920" s="5" t="n"/>
      <c r="B920" s="12" t="n"/>
      <c r="C920" s="5" t="n"/>
      <c r="D920" s="8">
        <f>IF($C920="","",IFERROR(INDEX('Master Inventory'!$B:$B,MATCH($C920,'Master Inventory'!$A:$A,0)),""))</f>
        <v/>
      </c>
      <c r="E920" s="8">
        <f>IF($C920="","",IFERROR(INDEX('Master Inventory'!$C:$C,MATCH($C920,'Master Inventory'!$A:$A,0)),""))</f>
        <v/>
      </c>
      <c r="F920" s="5" t="n"/>
      <c r="G920" s="5" t="n"/>
    </row>
    <row r="921">
      <c r="A921" s="5" t="n"/>
      <c r="B921" s="12" t="n"/>
      <c r="C921" s="5" t="n"/>
      <c r="D921" s="8">
        <f>IF($C921="","",IFERROR(INDEX('Master Inventory'!$B:$B,MATCH($C921,'Master Inventory'!$A:$A,0)),""))</f>
        <v/>
      </c>
      <c r="E921" s="8">
        <f>IF($C921="","",IFERROR(INDEX('Master Inventory'!$C:$C,MATCH($C921,'Master Inventory'!$A:$A,0)),""))</f>
        <v/>
      </c>
      <c r="F921" s="5" t="n"/>
      <c r="G921" s="5" t="n"/>
    </row>
    <row r="922">
      <c r="A922" s="5" t="n"/>
      <c r="B922" s="12" t="n"/>
      <c r="C922" s="5" t="n"/>
      <c r="D922" s="8">
        <f>IF($C922="","",IFERROR(INDEX('Master Inventory'!$B:$B,MATCH($C922,'Master Inventory'!$A:$A,0)),""))</f>
        <v/>
      </c>
      <c r="E922" s="8">
        <f>IF($C922="","",IFERROR(INDEX('Master Inventory'!$C:$C,MATCH($C922,'Master Inventory'!$A:$A,0)),""))</f>
        <v/>
      </c>
      <c r="F922" s="5" t="n"/>
      <c r="G922" s="5" t="n"/>
    </row>
    <row r="923">
      <c r="A923" s="5" t="n"/>
      <c r="B923" s="12" t="n"/>
      <c r="C923" s="5" t="n"/>
      <c r="D923" s="8">
        <f>IF($C923="","",IFERROR(INDEX('Master Inventory'!$B:$B,MATCH($C923,'Master Inventory'!$A:$A,0)),""))</f>
        <v/>
      </c>
      <c r="E923" s="8">
        <f>IF($C923="","",IFERROR(INDEX('Master Inventory'!$C:$C,MATCH($C923,'Master Inventory'!$A:$A,0)),""))</f>
        <v/>
      </c>
      <c r="F923" s="5" t="n"/>
      <c r="G923" s="5" t="n"/>
    </row>
    <row r="924">
      <c r="A924" s="5" t="n"/>
      <c r="B924" s="12" t="n"/>
      <c r="C924" s="5" t="n"/>
      <c r="D924" s="8">
        <f>IF($C924="","",IFERROR(INDEX('Master Inventory'!$B:$B,MATCH($C924,'Master Inventory'!$A:$A,0)),""))</f>
        <v/>
      </c>
      <c r="E924" s="8">
        <f>IF($C924="","",IFERROR(INDEX('Master Inventory'!$C:$C,MATCH($C924,'Master Inventory'!$A:$A,0)),""))</f>
        <v/>
      </c>
      <c r="F924" s="5" t="n"/>
      <c r="G924" s="5" t="n"/>
    </row>
    <row r="925">
      <c r="A925" s="5" t="n"/>
      <c r="B925" s="12" t="n"/>
      <c r="C925" s="5" t="n"/>
      <c r="D925" s="8">
        <f>IF($C925="","",IFERROR(INDEX('Master Inventory'!$B:$B,MATCH($C925,'Master Inventory'!$A:$A,0)),""))</f>
        <v/>
      </c>
      <c r="E925" s="8">
        <f>IF($C925="","",IFERROR(INDEX('Master Inventory'!$C:$C,MATCH($C925,'Master Inventory'!$A:$A,0)),""))</f>
        <v/>
      </c>
      <c r="F925" s="5" t="n"/>
      <c r="G925" s="5" t="n"/>
    </row>
    <row r="926">
      <c r="A926" s="5" t="n"/>
      <c r="B926" s="12" t="n"/>
      <c r="C926" s="5" t="n"/>
      <c r="D926" s="8">
        <f>IF($C926="","",IFERROR(INDEX('Master Inventory'!$B:$B,MATCH($C926,'Master Inventory'!$A:$A,0)),""))</f>
        <v/>
      </c>
      <c r="E926" s="8">
        <f>IF($C926="","",IFERROR(INDEX('Master Inventory'!$C:$C,MATCH($C926,'Master Inventory'!$A:$A,0)),""))</f>
        <v/>
      </c>
      <c r="F926" s="5" t="n"/>
      <c r="G926" s="5" t="n"/>
    </row>
    <row r="927">
      <c r="A927" s="5" t="n"/>
      <c r="B927" s="12" t="n"/>
      <c r="C927" s="5" t="n"/>
      <c r="D927" s="8">
        <f>IF($C927="","",IFERROR(INDEX('Master Inventory'!$B:$B,MATCH($C927,'Master Inventory'!$A:$A,0)),""))</f>
        <v/>
      </c>
      <c r="E927" s="8">
        <f>IF($C927="","",IFERROR(INDEX('Master Inventory'!$C:$C,MATCH($C927,'Master Inventory'!$A:$A,0)),""))</f>
        <v/>
      </c>
      <c r="F927" s="5" t="n"/>
      <c r="G927" s="5" t="n"/>
    </row>
    <row r="928">
      <c r="A928" s="5" t="n"/>
      <c r="B928" s="12" t="n"/>
      <c r="C928" s="5" t="n"/>
      <c r="D928" s="8">
        <f>IF($C928="","",IFERROR(INDEX('Master Inventory'!$B:$B,MATCH($C928,'Master Inventory'!$A:$A,0)),""))</f>
        <v/>
      </c>
      <c r="E928" s="8">
        <f>IF($C928="","",IFERROR(INDEX('Master Inventory'!$C:$C,MATCH($C928,'Master Inventory'!$A:$A,0)),""))</f>
        <v/>
      </c>
      <c r="F928" s="5" t="n"/>
      <c r="G928" s="5" t="n"/>
    </row>
    <row r="929">
      <c r="A929" s="5" t="n"/>
      <c r="B929" s="12" t="n"/>
      <c r="C929" s="5" t="n"/>
      <c r="D929" s="8">
        <f>IF($C929="","",IFERROR(INDEX('Master Inventory'!$B:$B,MATCH($C929,'Master Inventory'!$A:$A,0)),""))</f>
        <v/>
      </c>
      <c r="E929" s="8">
        <f>IF($C929="","",IFERROR(INDEX('Master Inventory'!$C:$C,MATCH($C929,'Master Inventory'!$A:$A,0)),""))</f>
        <v/>
      </c>
      <c r="F929" s="5" t="n"/>
      <c r="G929" s="5" t="n"/>
    </row>
    <row r="930">
      <c r="A930" s="5" t="n"/>
      <c r="B930" s="12" t="n"/>
      <c r="C930" s="5" t="n"/>
      <c r="D930" s="8">
        <f>IF($C930="","",IFERROR(INDEX('Master Inventory'!$B:$B,MATCH($C930,'Master Inventory'!$A:$A,0)),""))</f>
        <v/>
      </c>
      <c r="E930" s="8">
        <f>IF($C930="","",IFERROR(INDEX('Master Inventory'!$C:$C,MATCH($C930,'Master Inventory'!$A:$A,0)),""))</f>
        <v/>
      </c>
      <c r="F930" s="5" t="n"/>
      <c r="G930" s="5" t="n"/>
    </row>
    <row r="931">
      <c r="A931" s="5" t="n"/>
      <c r="B931" s="12" t="n"/>
      <c r="C931" s="5" t="n"/>
      <c r="D931" s="8">
        <f>IF($C931="","",IFERROR(INDEX('Master Inventory'!$B:$B,MATCH($C931,'Master Inventory'!$A:$A,0)),""))</f>
        <v/>
      </c>
      <c r="E931" s="8">
        <f>IF($C931="","",IFERROR(INDEX('Master Inventory'!$C:$C,MATCH($C931,'Master Inventory'!$A:$A,0)),""))</f>
        <v/>
      </c>
      <c r="F931" s="5" t="n"/>
      <c r="G931" s="5" t="n"/>
    </row>
    <row r="932">
      <c r="A932" s="5" t="n"/>
      <c r="B932" s="12" t="n"/>
      <c r="C932" s="5" t="n"/>
      <c r="D932" s="8">
        <f>IF($C932="","",IFERROR(INDEX('Master Inventory'!$B:$B,MATCH($C932,'Master Inventory'!$A:$A,0)),""))</f>
        <v/>
      </c>
      <c r="E932" s="8">
        <f>IF($C932="","",IFERROR(INDEX('Master Inventory'!$C:$C,MATCH($C932,'Master Inventory'!$A:$A,0)),""))</f>
        <v/>
      </c>
      <c r="F932" s="5" t="n"/>
      <c r="G932" s="5" t="n"/>
    </row>
    <row r="933">
      <c r="A933" s="5" t="n"/>
      <c r="B933" s="12" t="n"/>
      <c r="C933" s="5" t="n"/>
      <c r="D933" s="8">
        <f>IF($C933="","",IFERROR(INDEX('Master Inventory'!$B:$B,MATCH($C933,'Master Inventory'!$A:$A,0)),""))</f>
        <v/>
      </c>
      <c r="E933" s="8">
        <f>IF($C933="","",IFERROR(INDEX('Master Inventory'!$C:$C,MATCH($C933,'Master Inventory'!$A:$A,0)),""))</f>
        <v/>
      </c>
      <c r="F933" s="5" t="n"/>
      <c r="G933" s="5" t="n"/>
    </row>
    <row r="934">
      <c r="A934" s="5" t="n"/>
      <c r="B934" s="12" t="n"/>
      <c r="C934" s="5" t="n"/>
      <c r="D934" s="8">
        <f>IF($C934="","",IFERROR(INDEX('Master Inventory'!$B:$B,MATCH($C934,'Master Inventory'!$A:$A,0)),""))</f>
        <v/>
      </c>
      <c r="E934" s="8">
        <f>IF($C934="","",IFERROR(INDEX('Master Inventory'!$C:$C,MATCH($C934,'Master Inventory'!$A:$A,0)),""))</f>
        <v/>
      </c>
      <c r="F934" s="5" t="n"/>
      <c r="G934" s="5" t="n"/>
    </row>
    <row r="935">
      <c r="A935" s="5" t="n"/>
      <c r="B935" s="12" t="n"/>
      <c r="C935" s="5" t="n"/>
      <c r="D935" s="8">
        <f>IF($C935="","",IFERROR(INDEX('Master Inventory'!$B:$B,MATCH($C935,'Master Inventory'!$A:$A,0)),""))</f>
        <v/>
      </c>
      <c r="E935" s="8">
        <f>IF($C935="","",IFERROR(INDEX('Master Inventory'!$C:$C,MATCH($C935,'Master Inventory'!$A:$A,0)),""))</f>
        <v/>
      </c>
      <c r="F935" s="5" t="n"/>
      <c r="G935" s="5" t="n"/>
    </row>
    <row r="936">
      <c r="A936" s="5" t="n"/>
      <c r="B936" s="12" t="n"/>
      <c r="C936" s="5" t="n"/>
      <c r="D936" s="8">
        <f>IF($C936="","",IFERROR(INDEX('Master Inventory'!$B:$B,MATCH($C936,'Master Inventory'!$A:$A,0)),""))</f>
        <v/>
      </c>
      <c r="E936" s="8">
        <f>IF($C936="","",IFERROR(INDEX('Master Inventory'!$C:$C,MATCH($C936,'Master Inventory'!$A:$A,0)),""))</f>
        <v/>
      </c>
      <c r="F936" s="5" t="n"/>
      <c r="G936" s="5" t="n"/>
    </row>
    <row r="937">
      <c r="A937" s="5" t="n"/>
      <c r="B937" s="12" t="n"/>
      <c r="C937" s="5" t="n"/>
      <c r="D937" s="8">
        <f>IF($C937="","",IFERROR(INDEX('Master Inventory'!$B:$B,MATCH($C937,'Master Inventory'!$A:$A,0)),""))</f>
        <v/>
      </c>
      <c r="E937" s="8">
        <f>IF($C937="","",IFERROR(INDEX('Master Inventory'!$C:$C,MATCH($C937,'Master Inventory'!$A:$A,0)),""))</f>
        <v/>
      </c>
      <c r="F937" s="5" t="n"/>
      <c r="G937" s="5" t="n"/>
    </row>
    <row r="938">
      <c r="A938" s="5" t="n"/>
      <c r="B938" s="12" t="n"/>
      <c r="C938" s="5" t="n"/>
      <c r="D938" s="8">
        <f>IF($C938="","",IFERROR(INDEX('Master Inventory'!$B:$B,MATCH($C938,'Master Inventory'!$A:$A,0)),""))</f>
        <v/>
      </c>
      <c r="E938" s="8">
        <f>IF($C938="","",IFERROR(INDEX('Master Inventory'!$C:$C,MATCH($C938,'Master Inventory'!$A:$A,0)),""))</f>
        <v/>
      </c>
      <c r="F938" s="5" t="n"/>
      <c r="G938" s="5" t="n"/>
    </row>
    <row r="939">
      <c r="A939" s="5" t="n"/>
      <c r="B939" s="12" t="n"/>
      <c r="C939" s="5" t="n"/>
      <c r="D939" s="8">
        <f>IF($C939="","",IFERROR(INDEX('Master Inventory'!$B:$B,MATCH($C939,'Master Inventory'!$A:$A,0)),""))</f>
        <v/>
      </c>
      <c r="E939" s="8">
        <f>IF($C939="","",IFERROR(INDEX('Master Inventory'!$C:$C,MATCH($C939,'Master Inventory'!$A:$A,0)),""))</f>
        <v/>
      </c>
      <c r="F939" s="5" t="n"/>
      <c r="G939" s="5" t="n"/>
    </row>
    <row r="940">
      <c r="A940" s="5" t="n"/>
      <c r="B940" s="12" t="n"/>
      <c r="C940" s="5" t="n"/>
      <c r="D940" s="8">
        <f>IF($C940="","",IFERROR(INDEX('Master Inventory'!$B:$B,MATCH($C940,'Master Inventory'!$A:$A,0)),""))</f>
        <v/>
      </c>
      <c r="E940" s="8">
        <f>IF($C940="","",IFERROR(INDEX('Master Inventory'!$C:$C,MATCH($C940,'Master Inventory'!$A:$A,0)),""))</f>
        <v/>
      </c>
      <c r="F940" s="5" t="n"/>
      <c r="G940" s="5" t="n"/>
    </row>
    <row r="941">
      <c r="A941" s="5" t="n"/>
      <c r="B941" s="12" t="n"/>
      <c r="C941" s="5" t="n"/>
      <c r="D941" s="8">
        <f>IF($C941="","",IFERROR(INDEX('Master Inventory'!$B:$B,MATCH($C941,'Master Inventory'!$A:$A,0)),""))</f>
        <v/>
      </c>
      <c r="E941" s="8">
        <f>IF($C941="","",IFERROR(INDEX('Master Inventory'!$C:$C,MATCH($C941,'Master Inventory'!$A:$A,0)),""))</f>
        <v/>
      </c>
      <c r="F941" s="5" t="n"/>
      <c r="G941" s="5" t="n"/>
    </row>
    <row r="942">
      <c r="A942" s="5" t="n"/>
      <c r="B942" s="12" t="n"/>
      <c r="C942" s="5" t="n"/>
      <c r="D942" s="8">
        <f>IF($C942="","",IFERROR(INDEX('Master Inventory'!$B:$B,MATCH($C942,'Master Inventory'!$A:$A,0)),""))</f>
        <v/>
      </c>
      <c r="E942" s="8">
        <f>IF($C942="","",IFERROR(INDEX('Master Inventory'!$C:$C,MATCH($C942,'Master Inventory'!$A:$A,0)),""))</f>
        <v/>
      </c>
      <c r="F942" s="5" t="n"/>
      <c r="G942" s="5" t="n"/>
    </row>
    <row r="943">
      <c r="A943" s="5" t="n"/>
      <c r="B943" s="12" t="n"/>
      <c r="C943" s="5" t="n"/>
      <c r="D943" s="8">
        <f>IF($C943="","",IFERROR(INDEX('Master Inventory'!$B:$B,MATCH($C943,'Master Inventory'!$A:$A,0)),""))</f>
        <v/>
      </c>
      <c r="E943" s="8">
        <f>IF($C943="","",IFERROR(INDEX('Master Inventory'!$C:$C,MATCH($C943,'Master Inventory'!$A:$A,0)),""))</f>
        <v/>
      </c>
      <c r="F943" s="5" t="n"/>
      <c r="G943" s="5" t="n"/>
    </row>
    <row r="944">
      <c r="A944" s="5" t="n"/>
      <c r="B944" s="12" t="n"/>
      <c r="C944" s="5" t="n"/>
      <c r="D944" s="8">
        <f>IF($C944="","",IFERROR(INDEX('Master Inventory'!$B:$B,MATCH($C944,'Master Inventory'!$A:$A,0)),""))</f>
        <v/>
      </c>
      <c r="E944" s="8">
        <f>IF($C944="","",IFERROR(INDEX('Master Inventory'!$C:$C,MATCH($C944,'Master Inventory'!$A:$A,0)),""))</f>
        <v/>
      </c>
      <c r="F944" s="5" t="n"/>
      <c r="G944" s="5" t="n"/>
    </row>
    <row r="945">
      <c r="A945" s="5" t="n"/>
      <c r="B945" s="12" t="n"/>
      <c r="C945" s="5" t="n"/>
      <c r="D945" s="8">
        <f>IF($C945="","",IFERROR(INDEX('Master Inventory'!$B:$B,MATCH($C945,'Master Inventory'!$A:$A,0)),""))</f>
        <v/>
      </c>
      <c r="E945" s="8">
        <f>IF($C945="","",IFERROR(INDEX('Master Inventory'!$C:$C,MATCH($C945,'Master Inventory'!$A:$A,0)),""))</f>
        <v/>
      </c>
      <c r="F945" s="5" t="n"/>
      <c r="G945" s="5" t="n"/>
    </row>
    <row r="946">
      <c r="A946" s="5" t="n"/>
      <c r="B946" s="12" t="n"/>
      <c r="C946" s="5" t="n"/>
      <c r="D946" s="8">
        <f>IF($C946="","",IFERROR(INDEX('Master Inventory'!$B:$B,MATCH($C946,'Master Inventory'!$A:$A,0)),""))</f>
        <v/>
      </c>
      <c r="E946" s="8">
        <f>IF($C946="","",IFERROR(INDEX('Master Inventory'!$C:$C,MATCH($C946,'Master Inventory'!$A:$A,0)),""))</f>
        <v/>
      </c>
      <c r="F946" s="5" t="n"/>
      <c r="G946" s="5" t="n"/>
    </row>
    <row r="947">
      <c r="A947" s="5" t="n"/>
      <c r="B947" s="12" t="n"/>
      <c r="C947" s="5" t="n"/>
      <c r="D947" s="8">
        <f>IF($C947="","",IFERROR(INDEX('Master Inventory'!$B:$B,MATCH($C947,'Master Inventory'!$A:$A,0)),""))</f>
        <v/>
      </c>
      <c r="E947" s="8">
        <f>IF($C947="","",IFERROR(INDEX('Master Inventory'!$C:$C,MATCH($C947,'Master Inventory'!$A:$A,0)),""))</f>
        <v/>
      </c>
      <c r="F947" s="5" t="n"/>
      <c r="G947" s="5" t="n"/>
    </row>
    <row r="948">
      <c r="A948" s="5" t="n"/>
      <c r="B948" s="12" t="n"/>
      <c r="C948" s="5" t="n"/>
      <c r="D948" s="8">
        <f>IF($C948="","",IFERROR(INDEX('Master Inventory'!$B:$B,MATCH($C948,'Master Inventory'!$A:$A,0)),""))</f>
        <v/>
      </c>
      <c r="E948" s="8">
        <f>IF($C948="","",IFERROR(INDEX('Master Inventory'!$C:$C,MATCH($C948,'Master Inventory'!$A:$A,0)),""))</f>
        <v/>
      </c>
      <c r="F948" s="5" t="n"/>
      <c r="G948" s="5" t="n"/>
    </row>
    <row r="949">
      <c r="A949" s="5" t="n"/>
      <c r="B949" s="12" t="n"/>
      <c r="C949" s="5" t="n"/>
      <c r="D949" s="8">
        <f>IF($C949="","",IFERROR(INDEX('Master Inventory'!$B:$B,MATCH($C949,'Master Inventory'!$A:$A,0)),""))</f>
        <v/>
      </c>
      <c r="E949" s="8">
        <f>IF($C949="","",IFERROR(INDEX('Master Inventory'!$C:$C,MATCH($C949,'Master Inventory'!$A:$A,0)),""))</f>
        <v/>
      </c>
      <c r="F949" s="5" t="n"/>
      <c r="G949" s="5" t="n"/>
    </row>
    <row r="950">
      <c r="A950" s="5" t="n"/>
      <c r="B950" s="12" t="n"/>
      <c r="C950" s="5" t="n"/>
      <c r="D950" s="8">
        <f>IF($C950="","",IFERROR(INDEX('Master Inventory'!$B:$B,MATCH($C950,'Master Inventory'!$A:$A,0)),""))</f>
        <v/>
      </c>
      <c r="E950" s="8">
        <f>IF($C950="","",IFERROR(INDEX('Master Inventory'!$C:$C,MATCH($C950,'Master Inventory'!$A:$A,0)),""))</f>
        <v/>
      </c>
      <c r="F950" s="5" t="n"/>
      <c r="G950" s="5" t="n"/>
    </row>
    <row r="951">
      <c r="A951" s="5" t="n"/>
      <c r="B951" s="12" t="n"/>
      <c r="C951" s="5" t="n"/>
      <c r="D951" s="8">
        <f>IF($C951="","",IFERROR(INDEX('Master Inventory'!$B:$B,MATCH($C951,'Master Inventory'!$A:$A,0)),""))</f>
        <v/>
      </c>
      <c r="E951" s="8">
        <f>IF($C951="","",IFERROR(INDEX('Master Inventory'!$C:$C,MATCH($C951,'Master Inventory'!$A:$A,0)),""))</f>
        <v/>
      </c>
      <c r="F951" s="5" t="n"/>
      <c r="G951" s="5" t="n"/>
    </row>
    <row r="952">
      <c r="A952" s="5" t="n"/>
      <c r="B952" s="12" t="n"/>
      <c r="C952" s="5" t="n"/>
      <c r="D952" s="8">
        <f>IF($C952="","",IFERROR(INDEX('Master Inventory'!$B:$B,MATCH($C952,'Master Inventory'!$A:$A,0)),""))</f>
        <v/>
      </c>
      <c r="E952" s="8">
        <f>IF($C952="","",IFERROR(INDEX('Master Inventory'!$C:$C,MATCH($C952,'Master Inventory'!$A:$A,0)),""))</f>
        <v/>
      </c>
      <c r="F952" s="5" t="n"/>
      <c r="G952" s="5" t="n"/>
    </row>
    <row r="953">
      <c r="A953" s="5" t="n"/>
      <c r="B953" s="12" t="n"/>
      <c r="C953" s="5" t="n"/>
      <c r="D953" s="8">
        <f>IF($C953="","",IFERROR(INDEX('Master Inventory'!$B:$B,MATCH($C953,'Master Inventory'!$A:$A,0)),""))</f>
        <v/>
      </c>
      <c r="E953" s="8">
        <f>IF($C953="","",IFERROR(INDEX('Master Inventory'!$C:$C,MATCH($C953,'Master Inventory'!$A:$A,0)),""))</f>
        <v/>
      </c>
      <c r="F953" s="5" t="n"/>
      <c r="G953" s="5" t="n"/>
    </row>
    <row r="954">
      <c r="A954" s="5" t="n"/>
      <c r="B954" s="12" t="n"/>
      <c r="C954" s="5" t="n"/>
      <c r="D954" s="8">
        <f>IF($C954="","",IFERROR(INDEX('Master Inventory'!$B:$B,MATCH($C954,'Master Inventory'!$A:$A,0)),""))</f>
        <v/>
      </c>
      <c r="E954" s="8">
        <f>IF($C954="","",IFERROR(INDEX('Master Inventory'!$C:$C,MATCH($C954,'Master Inventory'!$A:$A,0)),""))</f>
        <v/>
      </c>
      <c r="F954" s="5" t="n"/>
      <c r="G954" s="5" t="n"/>
    </row>
    <row r="955">
      <c r="A955" s="5" t="n"/>
      <c r="B955" s="12" t="n"/>
      <c r="C955" s="5" t="n"/>
      <c r="D955" s="8">
        <f>IF($C955="","",IFERROR(INDEX('Master Inventory'!$B:$B,MATCH($C955,'Master Inventory'!$A:$A,0)),""))</f>
        <v/>
      </c>
      <c r="E955" s="8">
        <f>IF($C955="","",IFERROR(INDEX('Master Inventory'!$C:$C,MATCH($C955,'Master Inventory'!$A:$A,0)),""))</f>
        <v/>
      </c>
      <c r="F955" s="5" t="n"/>
      <c r="G955" s="5" t="n"/>
    </row>
    <row r="956">
      <c r="A956" s="5" t="n"/>
      <c r="B956" s="12" t="n"/>
      <c r="C956" s="5" t="n"/>
      <c r="D956" s="8">
        <f>IF($C956="","",IFERROR(INDEX('Master Inventory'!$B:$B,MATCH($C956,'Master Inventory'!$A:$A,0)),""))</f>
        <v/>
      </c>
      <c r="E956" s="8">
        <f>IF($C956="","",IFERROR(INDEX('Master Inventory'!$C:$C,MATCH($C956,'Master Inventory'!$A:$A,0)),""))</f>
        <v/>
      </c>
      <c r="F956" s="5" t="n"/>
      <c r="G956" s="5" t="n"/>
    </row>
    <row r="957">
      <c r="A957" s="5" t="n"/>
      <c r="B957" s="12" t="n"/>
      <c r="C957" s="5" t="n"/>
      <c r="D957" s="8">
        <f>IF($C957="","",IFERROR(INDEX('Master Inventory'!$B:$B,MATCH($C957,'Master Inventory'!$A:$A,0)),""))</f>
        <v/>
      </c>
      <c r="E957" s="8">
        <f>IF($C957="","",IFERROR(INDEX('Master Inventory'!$C:$C,MATCH($C957,'Master Inventory'!$A:$A,0)),""))</f>
        <v/>
      </c>
      <c r="F957" s="5" t="n"/>
      <c r="G957" s="5" t="n"/>
    </row>
    <row r="958">
      <c r="A958" s="5" t="n"/>
      <c r="B958" s="12" t="n"/>
      <c r="C958" s="5" t="n"/>
      <c r="D958" s="8">
        <f>IF($C958="","",IFERROR(INDEX('Master Inventory'!$B:$B,MATCH($C958,'Master Inventory'!$A:$A,0)),""))</f>
        <v/>
      </c>
      <c r="E958" s="8">
        <f>IF($C958="","",IFERROR(INDEX('Master Inventory'!$C:$C,MATCH($C958,'Master Inventory'!$A:$A,0)),""))</f>
        <v/>
      </c>
      <c r="F958" s="5" t="n"/>
      <c r="G958" s="5" t="n"/>
    </row>
    <row r="959">
      <c r="A959" s="5" t="n"/>
      <c r="B959" s="12" t="n"/>
      <c r="C959" s="5" t="n"/>
      <c r="D959" s="8">
        <f>IF($C959="","",IFERROR(INDEX('Master Inventory'!$B:$B,MATCH($C959,'Master Inventory'!$A:$A,0)),""))</f>
        <v/>
      </c>
      <c r="E959" s="8">
        <f>IF($C959="","",IFERROR(INDEX('Master Inventory'!$C:$C,MATCH($C959,'Master Inventory'!$A:$A,0)),""))</f>
        <v/>
      </c>
      <c r="F959" s="5" t="n"/>
      <c r="G959" s="5" t="n"/>
    </row>
    <row r="960">
      <c r="A960" s="5" t="n"/>
      <c r="B960" s="12" t="n"/>
      <c r="C960" s="5" t="n"/>
      <c r="D960" s="8">
        <f>IF($C960="","",IFERROR(INDEX('Master Inventory'!$B:$B,MATCH($C960,'Master Inventory'!$A:$A,0)),""))</f>
        <v/>
      </c>
      <c r="E960" s="8">
        <f>IF($C960="","",IFERROR(INDEX('Master Inventory'!$C:$C,MATCH($C960,'Master Inventory'!$A:$A,0)),""))</f>
        <v/>
      </c>
      <c r="F960" s="5" t="n"/>
      <c r="G960" s="5" t="n"/>
    </row>
    <row r="961">
      <c r="A961" s="5" t="n"/>
      <c r="B961" s="12" t="n"/>
      <c r="C961" s="5" t="n"/>
      <c r="D961" s="8">
        <f>IF($C961="","",IFERROR(INDEX('Master Inventory'!$B:$B,MATCH($C961,'Master Inventory'!$A:$A,0)),""))</f>
        <v/>
      </c>
      <c r="E961" s="8">
        <f>IF($C961="","",IFERROR(INDEX('Master Inventory'!$C:$C,MATCH($C961,'Master Inventory'!$A:$A,0)),""))</f>
        <v/>
      </c>
      <c r="F961" s="5" t="n"/>
      <c r="G961" s="5" t="n"/>
    </row>
    <row r="962">
      <c r="A962" s="5" t="n"/>
      <c r="B962" s="12" t="n"/>
      <c r="C962" s="5" t="n"/>
      <c r="D962" s="8">
        <f>IF($C962="","",IFERROR(INDEX('Master Inventory'!$B:$B,MATCH($C962,'Master Inventory'!$A:$A,0)),""))</f>
        <v/>
      </c>
      <c r="E962" s="8">
        <f>IF($C962="","",IFERROR(INDEX('Master Inventory'!$C:$C,MATCH($C962,'Master Inventory'!$A:$A,0)),""))</f>
        <v/>
      </c>
      <c r="F962" s="5" t="n"/>
      <c r="G962" s="5" t="n"/>
    </row>
    <row r="963">
      <c r="A963" s="5" t="n"/>
      <c r="B963" s="12" t="n"/>
      <c r="C963" s="5" t="n"/>
      <c r="D963" s="8">
        <f>IF($C963="","",IFERROR(INDEX('Master Inventory'!$B:$B,MATCH($C963,'Master Inventory'!$A:$A,0)),""))</f>
        <v/>
      </c>
      <c r="E963" s="8">
        <f>IF($C963="","",IFERROR(INDEX('Master Inventory'!$C:$C,MATCH($C963,'Master Inventory'!$A:$A,0)),""))</f>
        <v/>
      </c>
      <c r="F963" s="5" t="n"/>
      <c r="G963" s="5" t="n"/>
    </row>
    <row r="964">
      <c r="A964" s="5" t="n"/>
      <c r="B964" s="12" t="n"/>
      <c r="C964" s="5" t="n"/>
      <c r="D964" s="8">
        <f>IF($C964="","",IFERROR(INDEX('Master Inventory'!$B:$B,MATCH($C964,'Master Inventory'!$A:$A,0)),""))</f>
        <v/>
      </c>
      <c r="E964" s="8">
        <f>IF($C964="","",IFERROR(INDEX('Master Inventory'!$C:$C,MATCH($C964,'Master Inventory'!$A:$A,0)),""))</f>
        <v/>
      </c>
      <c r="F964" s="5" t="n"/>
      <c r="G964" s="5" t="n"/>
    </row>
    <row r="965">
      <c r="A965" s="5" t="n"/>
      <c r="B965" s="12" t="n"/>
      <c r="C965" s="5" t="n"/>
      <c r="D965" s="8">
        <f>IF($C965="","",IFERROR(INDEX('Master Inventory'!$B:$B,MATCH($C965,'Master Inventory'!$A:$A,0)),""))</f>
        <v/>
      </c>
      <c r="E965" s="8">
        <f>IF($C965="","",IFERROR(INDEX('Master Inventory'!$C:$C,MATCH($C965,'Master Inventory'!$A:$A,0)),""))</f>
        <v/>
      </c>
      <c r="F965" s="5" t="n"/>
      <c r="G965" s="5" t="n"/>
    </row>
    <row r="966">
      <c r="A966" s="5" t="n"/>
      <c r="B966" s="12" t="n"/>
      <c r="C966" s="5" t="n"/>
      <c r="D966" s="8">
        <f>IF($C966="","",IFERROR(INDEX('Master Inventory'!$B:$B,MATCH($C966,'Master Inventory'!$A:$A,0)),""))</f>
        <v/>
      </c>
      <c r="E966" s="8">
        <f>IF($C966="","",IFERROR(INDEX('Master Inventory'!$C:$C,MATCH($C966,'Master Inventory'!$A:$A,0)),""))</f>
        <v/>
      </c>
      <c r="F966" s="5" t="n"/>
      <c r="G966" s="5" t="n"/>
    </row>
    <row r="967">
      <c r="A967" s="5" t="n"/>
      <c r="B967" s="12" t="n"/>
      <c r="C967" s="5" t="n"/>
      <c r="D967" s="8">
        <f>IF($C967="","",IFERROR(INDEX('Master Inventory'!$B:$B,MATCH($C967,'Master Inventory'!$A:$A,0)),""))</f>
        <v/>
      </c>
      <c r="E967" s="8">
        <f>IF($C967="","",IFERROR(INDEX('Master Inventory'!$C:$C,MATCH($C967,'Master Inventory'!$A:$A,0)),""))</f>
        <v/>
      </c>
      <c r="F967" s="5" t="n"/>
      <c r="G967" s="5" t="n"/>
    </row>
    <row r="968">
      <c r="A968" s="5" t="n"/>
      <c r="B968" s="12" t="n"/>
      <c r="C968" s="5" t="n"/>
      <c r="D968" s="8">
        <f>IF($C968="","",IFERROR(INDEX('Master Inventory'!$B:$B,MATCH($C968,'Master Inventory'!$A:$A,0)),""))</f>
        <v/>
      </c>
      <c r="E968" s="8">
        <f>IF($C968="","",IFERROR(INDEX('Master Inventory'!$C:$C,MATCH($C968,'Master Inventory'!$A:$A,0)),""))</f>
        <v/>
      </c>
      <c r="F968" s="5" t="n"/>
      <c r="G968" s="5" t="n"/>
    </row>
    <row r="969">
      <c r="A969" s="5" t="n"/>
      <c r="B969" s="12" t="n"/>
      <c r="C969" s="5" t="n"/>
      <c r="D969" s="8">
        <f>IF($C969="","",IFERROR(INDEX('Master Inventory'!$B:$B,MATCH($C969,'Master Inventory'!$A:$A,0)),""))</f>
        <v/>
      </c>
      <c r="E969" s="8">
        <f>IF($C969="","",IFERROR(INDEX('Master Inventory'!$C:$C,MATCH($C969,'Master Inventory'!$A:$A,0)),""))</f>
        <v/>
      </c>
      <c r="F969" s="5" t="n"/>
      <c r="G969" s="5" t="n"/>
    </row>
    <row r="970">
      <c r="A970" s="5" t="n"/>
      <c r="B970" s="12" t="n"/>
      <c r="C970" s="5" t="n"/>
      <c r="D970" s="8">
        <f>IF($C970="","",IFERROR(INDEX('Master Inventory'!$B:$B,MATCH($C970,'Master Inventory'!$A:$A,0)),""))</f>
        <v/>
      </c>
      <c r="E970" s="8">
        <f>IF($C970="","",IFERROR(INDEX('Master Inventory'!$C:$C,MATCH($C970,'Master Inventory'!$A:$A,0)),""))</f>
        <v/>
      </c>
      <c r="F970" s="5" t="n"/>
      <c r="G970" s="5" t="n"/>
    </row>
    <row r="971">
      <c r="A971" s="5" t="n"/>
      <c r="B971" s="12" t="n"/>
      <c r="C971" s="5" t="n"/>
      <c r="D971" s="8">
        <f>IF($C971="","",IFERROR(INDEX('Master Inventory'!$B:$B,MATCH($C971,'Master Inventory'!$A:$A,0)),""))</f>
        <v/>
      </c>
      <c r="E971" s="8">
        <f>IF($C971="","",IFERROR(INDEX('Master Inventory'!$C:$C,MATCH($C971,'Master Inventory'!$A:$A,0)),""))</f>
        <v/>
      </c>
      <c r="F971" s="5" t="n"/>
      <c r="G971" s="5" t="n"/>
    </row>
    <row r="972">
      <c r="A972" s="5" t="n"/>
      <c r="B972" s="12" t="n"/>
      <c r="C972" s="5" t="n"/>
      <c r="D972" s="8">
        <f>IF($C972="","",IFERROR(INDEX('Master Inventory'!$B:$B,MATCH($C972,'Master Inventory'!$A:$A,0)),""))</f>
        <v/>
      </c>
      <c r="E972" s="8">
        <f>IF($C972="","",IFERROR(INDEX('Master Inventory'!$C:$C,MATCH($C972,'Master Inventory'!$A:$A,0)),""))</f>
        <v/>
      </c>
      <c r="F972" s="5" t="n"/>
      <c r="G972" s="5" t="n"/>
    </row>
    <row r="973">
      <c r="A973" s="5" t="n"/>
      <c r="B973" s="12" t="n"/>
      <c r="C973" s="5" t="n"/>
      <c r="D973" s="8">
        <f>IF($C973="","",IFERROR(INDEX('Master Inventory'!$B:$B,MATCH($C973,'Master Inventory'!$A:$A,0)),""))</f>
        <v/>
      </c>
      <c r="E973" s="8">
        <f>IF($C973="","",IFERROR(INDEX('Master Inventory'!$C:$C,MATCH($C973,'Master Inventory'!$A:$A,0)),""))</f>
        <v/>
      </c>
      <c r="F973" s="5" t="n"/>
      <c r="G973" s="5" t="n"/>
    </row>
    <row r="974">
      <c r="A974" s="5" t="n"/>
      <c r="B974" s="12" t="n"/>
      <c r="C974" s="5" t="n"/>
      <c r="D974" s="8">
        <f>IF($C974="","",IFERROR(INDEX('Master Inventory'!$B:$B,MATCH($C974,'Master Inventory'!$A:$A,0)),""))</f>
        <v/>
      </c>
      <c r="E974" s="8">
        <f>IF($C974="","",IFERROR(INDEX('Master Inventory'!$C:$C,MATCH($C974,'Master Inventory'!$A:$A,0)),""))</f>
        <v/>
      </c>
      <c r="F974" s="5" t="n"/>
      <c r="G974" s="5" t="n"/>
    </row>
    <row r="975">
      <c r="A975" s="5" t="n"/>
      <c r="B975" s="12" t="n"/>
      <c r="C975" s="5" t="n"/>
      <c r="D975" s="8">
        <f>IF($C975="","",IFERROR(INDEX('Master Inventory'!$B:$B,MATCH($C975,'Master Inventory'!$A:$A,0)),""))</f>
        <v/>
      </c>
      <c r="E975" s="8">
        <f>IF($C975="","",IFERROR(INDEX('Master Inventory'!$C:$C,MATCH($C975,'Master Inventory'!$A:$A,0)),""))</f>
        <v/>
      </c>
      <c r="F975" s="5" t="n"/>
      <c r="G975" s="5" t="n"/>
    </row>
    <row r="976">
      <c r="A976" s="5" t="n"/>
      <c r="B976" s="12" t="n"/>
      <c r="C976" s="5" t="n"/>
      <c r="D976" s="8">
        <f>IF($C976="","",IFERROR(INDEX('Master Inventory'!$B:$B,MATCH($C976,'Master Inventory'!$A:$A,0)),""))</f>
        <v/>
      </c>
      <c r="E976" s="8">
        <f>IF($C976="","",IFERROR(INDEX('Master Inventory'!$C:$C,MATCH($C976,'Master Inventory'!$A:$A,0)),""))</f>
        <v/>
      </c>
      <c r="F976" s="5" t="n"/>
      <c r="G976" s="5" t="n"/>
    </row>
    <row r="977">
      <c r="A977" s="5" t="n"/>
      <c r="B977" s="12" t="n"/>
      <c r="C977" s="5" t="n"/>
      <c r="D977" s="8">
        <f>IF($C977="","",IFERROR(INDEX('Master Inventory'!$B:$B,MATCH($C977,'Master Inventory'!$A:$A,0)),""))</f>
        <v/>
      </c>
      <c r="E977" s="8">
        <f>IF($C977="","",IFERROR(INDEX('Master Inventory'!$C:$C,MATCH($C977,'Master Inventory'!$A:$A,0)),""))</f>
        <v/>
      </c>
      <c r="F977" s="5" t="n"/>
      <c r="G977" s="5" t="n"/>
    </row>
    <row r="978">
      <c r="A978" s="5" t="n"/>
      <c r="B978" s="12" t="n"/>
      <c r="C978" s="5" t="n"/>
      <c r="D978" s="8">
        <f>IF($C978="","",IFERROR(INDEX('Master Inventory'!$B:$B,MATCH($C978,'Master Inventory'!$A:$A,0)),""))</f>
        <v/>
      </c>
      <c r="E978" s="8">
        <f>IF($C978="","",IFERROR(INDEX('Master Inventory'!$C:$C,MATCH($C978,'Master Inventory'!$A:$A,0)),""))</f>
        <v/>
      </c>
      <c r="F978" s="5" t="n"/>
      <c r="G978" s="5" t="n"/>
    </row>
    <row r="979">
      <c r="A979" s="5" t="n"/>
      <c r="B979" s="12" t="n"/>
      <c r="C979" s="5" t="n"/>
      <c r="D979" s="8">
        <f>IF($C979="","",IFERROR(INDEX('Master Inventory'!$B:$B,MATCH($C979,'Master Inventory'!$A:$A,0)),""))</f>
        <v/>
      </c>
      <c r="E979" s="8">
        <f>IF($C979="","",IFERROR(INDEX('Master Inventory'!$C:$C,MATCH($C979,'Master Inventory'!$A:$A,0)),""))</f>
        <v/>
      </c>
      <c r="F979" s="5" t="n"/>
      <c r="G979" s="5" t="n"/>
    </row>
    <row r="980">
      <c r="A980" s="5" t="n"/>
      <c r="B980" s="12" t="n"/>
      <c r="C980" s="5" t="n"/>
      <c r="D980" s="8">
        <f>IF($C980="","",IFERROR(INDEX('Master Inventory'!$B:$B,MATCH($C980,'Master Inventory'!$A:$A,0)),""))</f>
        <v/>
      </c>
      <c r="E980" s="8">
        <f>IF($C980="","",IFERROR(INDEX('Master Inventory'!$C:$C,MATCH($C980,'Master Inventory'!$A:$A,0)),""))</f>
        <v/>
      </c>
      <c r="F980" s="5" t="n"/>
      <c r="G980" s="5" t="n"/>
    </row>
    <row r="981">
      <c r="A981" s="5" t="n"/>
      <c r="B981" s="12" t="n"/>
      <c r="C981" s="5" t="n"/>
      <c r="D981" s="8">
        <f>IF($C981="","",IFERROR(INDEX('Master Inventory'!$B:$B,MATCH($C981,'Master Inventory'!$A:$A,0)),""))</f>
        <v/>
      </c>
      <c r="E981" s="8">
        <f>IF($C981="","",IFERROR(INDEX('Master Inventory'!$C:$C,MATCH($C981,'Master Inventory'!$A:$A,0)),""))</f>
        <v/>
      </c>
      <c r="F981" s="5" t="n"/>
      <c r="G981" s="5" t="n"/>
    </row>
    <row r="982">
      <c r="A982" s="5" t="n"/>
      <c r="B982" s="12" t="n"/>
      <c r="C982" s="5" t="n"/>
      <c r="D982" s="8">
        <f>IF($C982="","",IFERROR(INDEX('Master Inventory'!$B:$B,MATCH($C982,'Master Inventory'!$A:$A,0)),""))</f>
        <v/>
      </c>
      <c r="E982" s="8">
        <f>IF($C982="","",IFERROR(INDEX('Master Inventory'!$C:$C,MATCH($C982,'Master Inventory'!$A:$A,0)),""))</f>
        <v/>
      </c>
      <c r="F982" s="5" t="n"/>
      <c r="G982" s="5" t="n"/>
    </row>
    <row r="983">
      <c r="A983" s="5" t="n"/>
      <c r="B983" s="12" t="n"/>
      <c r="C983" s="5" t="n"/>
      <c r="D983" s="8">
        <f>IF($C983="","",IFERROR(INDEX('Master Inventory'!$B:$B,MATCH($C983,'Master Inventory'!$A:$A,0)),""))</f>
        <v/>
      </c>
      <c r="E983" s="8">
        <f>IF($C983="","",IFERROR(INDEX('Master Inventory'!$C:$C,MATCH($C983,'Master Inventory'!$A:$A,0)),""))</f>
        <v/>
      </c>
      <c r="F983" s="5" t="n"/>
      <c r="G983" s="5" t="n"/>
    </row>
    <row r="984">
      <c r="A984" s="5" t="n"/>
      <c r="B984" s="12" t="n"/>
      <c r="C984" s="5" t="n"/>
      <c r="D984" s="8">
        <f>IF($C984="","",IFERROR(INDEX('Master Inventory'!$B:$B,MATCH($C984,'Master Inventory'!$A:$A,0)),""))</f>
        <v/>
      </c>
      <c r="E984" s="8">
        <f>IF($C984="","",IFERROR(INDEX('Master Inventory'!$C:$C,MATCH($C984,'Master Inventory'!$A:$A,0)),""))</f>
        <v/>
      </c>
      <c r="F984" s="5" t="n"/>
      <c r="G984" s="5" t="n"/>
    </row>
    <row r="985">
      <c r="A985" s="5" t="n"/>
      <c r="B985" s="12" t="n"/>
      <c r="C985" s="5" t="n"/>
      <c r="D985" s="8">
        <f>IF($C985="","",IFERROR(INDEX('Master Inventory'!$B:$B,MATCH($C985,'Master Inventory'!$A:$A,0)),""))</f>
        <v/>
      </c>
      <c r="E985" s="8">
        <f>IF($C985="","",IFERROR(INDEX('Master Inventory'!$C:$C,MATCH($C985,'Master Inventory'!$A:$A,0)),""))</f>
        <v/>
      </c>
      <c r="F985" s="5" t="n"/>
      <c r="G985" s="5" t="n"/>
    </row>
    <row r="986">
      <c r="A986" s="5" t="n"/>
      <c r="B986" s="12" t="n"/>
      <c r="C986" s="5" t="n"/>
      <c r="D986" s="8">
        <f>IF($C986="","",IFERROR(INDEX('Master Inventory'!$B:$B,MATCH($C986,'Master Inventory'!$A:$A,0)),""))</f>
        <v/>
      </c>
      <c r="E986" s="8">
        <f>IF($C986="","",IFERROR(INDEX('Master Inventory'!$C:$C,MATCH($C986,'Master Inventory'!$A:$A,0)),""))</f>
        <v/>
      </c>
      <c r="F986" s="5" t="n"/>
      <c r="G986" s="5" t="n"/>
    </row>
    <row r="987">
      <c r="A987" s="5" t="n"/>
      <c r="B987" s="12" t="n"/>
      <c r="C987" s="5" t="n"/>
      <c r="D987" s="8">
        <f>IF($C987="","",IFERROR(INDEX('Master Inventory'!$B:$B,MATCH($C987,'Master Inventory'!$A:$A,0)),""))</f>
        <v/>
      </c>
      <c r="E987" s="8">
        <f>IF($C987="","",IFERROR(INDEX('Master Inventory'!$C:$C,MATCH($C987,'Master Inventory'!$A:$A,0)),""))</f>
        <v/>
      </c>
      <c r="F987" s="5" t="n"/>
      <c r="G987" s="5" t="n"/>
    </row>
    <row r="988">
      <c r="A988" s="5" t="n"/>
      <c r="B988" s="12" t="n"/>
      <c r="C988" s="5" t="n"/>
      <c r="D988" s="8">
        <f>IF($C988="","",IFERROR(INDEX('Master Inventory'!$B:$B,MATCH($C988,'Master Inventory'!$A:$A,0)),""))</f>
        <v/>
      </c>
      <c r="E988" s="8">
        <f>IF($C988="","",IFERROR(INDEX('Master Inventory'!$C:$C,MATCH($C988,'Master Inventory'!$A:$A,0)),""))</f>
        <v/>
      </c>
      <c r="F988" s="5" t="n"/>
      <c r="G988" s="5" t="n"/>
    </row>
    <row r="989">
      <c r="A989" s="5" t="n"/>
      <c r="B989" s="12" t="n"/>
      <c r="C989" s="5" t="n"/>
      <c r="D989" s="8">
        <f>IF($C989="","",IFERROR(INDEX('Master Inventory'!$B:$B,MATCH($C989,'Master Inventory'!$A:$A,0)),""))</f>
        <v/>
      </c>
      <c r="E989" s="8">
        <f>IF($C989="","",IFERROR(INDEX('Master Inventory'!$C:$C,MATCH($C989,'Master Inventory'!$A:$A,0)),""))</f>
        <v/>
      </c>
      <c r="F989" s="5" t="n"/>
      <c r="G989" s="5" t="n"/>
    </row>
    <row r="990">
      <c r="A990" s="5" t="n"/>
      <c r="B990" s="12" t="n"/>
      <c r="C990" s="5" t="n"/>
      <c r="D990" s="8">
        <f>IF($C990="","",IFERROR(INDEX('Master Inventory'!$B:$B,MATCH($C990,'Master Inventory'!$A:$A,0)),""))</f>
        <v/>
      </c>
      <c r="E990" s="8">
        <f>IF($C990="","",IFERROR(INDEX('Master Inventory'!$C:$C,MATCH($C990,'Master Inventory'!$A:$A,0)),""))</f>
        <v/>
      </c>
      <c r="F990" s="5" t="n"/>
      <c r="G990" s="5" t="n"/>
    </row>
    <row r="991">
      <c r="A991" s="5" t="n"/>
      <c r="B991" s="12" t="n"/>
      <c r="C991" s="5" t="n"/>
      <c r="D991" s="8">
        <f>IF($C991="","",IFERROR(INDEX('Master Inventory'!$B:$B,MATCH($C991,'Master Inventory'!$A:$A,0)),""))</f>
        <v/>
      </c>
      <c r="E991" s="8">
        <f>IF($C991="","",IFERROR(INDEX('Master Inventory'!$C:$C,MATCH($C991,'Master Inventory'!$A:$A,0)),""))</f>
        <v/>
      </c>
      <c r="F991" s="5" t="n"/>
      <c r="G991" s="5" t="n"/>
    </row>
    <row r="992">
      <c r="A992" s="5" t="n"/>
      <c r="B992" s="12" t="n"/>
      <c r="C992" s="5" t="n"/>
      <c r="D992" s="8">
        <f>IF($C992="","",IFERROR(INDEX('Master Inventory'!$B:$B,MATCH($C992,'Master Inventory'!$A:$A,0)),""))</f>
        <v/>
      </c>
      <c r="E992" s="8">
        <f>IF($C992="","",IFERROR(INDEX('Master Inventory'!$C:$C,MATCH($C992,'Master Inventory'!$A:$A,0)),""))</f>
        <v/>
      </c>
      <c r="F992" s="5" t="n"/>
      <c r="G992" s="5" t="n"/>
    </row>
    <row r="993">
      <c r="A993" s="5" t="n"/>
      <c r="B993" s="12" t="n"/>
      <c r="C993" s="5" t="n"/>
      <c r="D993" s="8">
        <f>IF($C993="","",IFERROR(INDEX('Master Inventory'!$B:$B,MATCH($C993,'Master Inventory'!$A:$A,0)),""))</f>
        <v/>
      </c>
      <c r="E993" s="8">
        <f>IF($C993="","",IFERROR(INDEX('Master Inventory'!$C:$C,MATCH($C993,'Master Inventory'!$A:$A,0)),""))</f>
        <v/>
      </c>
      <c r="F993" s="5" t="n"/>
      <c r="G993" s="5" t="n"/>
    </row>
    <row r="994">
      <c r="A994" s="5" t="n"/>
      <c r="B994" s="12" t="n"/>
      <c r="C994" s="5" t="n"/>
      <c r="D994" s="8">
        <f>IF($C994="","",IFERROR(INDEX('Master Inventory'!$B:$B,MATCH($C994,'Master Inventory'!$A:$A,0)),""))</f>
        <v/>
      </c>
      <c r="E994" s="8">
        <f>IF($C994="","",IFERROR(INDEX('Master Inventory'!$C:$C,MATCH($C994,'Master Inventory'!$A:$A,0)),""))</f>
        <v/>
      </c>
      <c r="F994" s="5" t="n"/>
      <c r="G994" s="5" t="n"/>
    </row>
    <row r="995">
      <c r="A995" s="5" t="n"/>
      <c r="B995" s="12" t="n"/>
      <c r="C995" s="5" t="n"/>
      <c r="D995" s="8">
        <f>IF($C995="","",IFERROR(INDEX('Master Inventory'!$B:$B,MATCH($C995,'Master Inventory'!$A:$A,0)),""))</f>
        <v/>
      </c>
      <c r="E995" s="8">
        <f>IF($C995="","",IFERROR(INDEX('Master Inventory'!$C:$C,MATCH($C995,'Master Inventory'!$A:$A,0)),""))</f>
        <v/>
      </c>
      <c r="F995" s="5" t="n"/>
      <c r="G995" s="5" t="n"/>
    </row>
    <row r="996">
      <c r="A996" s="5" t="n"/>
      <c r="B996" s="12" t="n"/>
      <c r="C996" s="5" t="n"/>
      <c r="D996" s="8">
        <f>IF($C996="","",IFERROR(INDEX('Master Inventory'!$B:$B,MATCH($C996,'Master Inventory'!$A:$A,0)),""))</f>
        <v/>
      </c>
      <c r="E996" s="8">
        <f>IF($C996="","",IFERROR(INDEX('Master Inventory'!$C:$C,MATCH($C996,'Master Inventory'!$A:$A,0)),""))</f>
        <v/>
      </c>
      <c r="F996" s="5" t="n"/>
      <c r="G996" s="5" t="n"/>
    </row>
    <row r="997">
      <c r="A997" s="5" t="n"/>
      <c r="B997" s="12" t="n"/>
      <c r="C997" s="5" t="n"/>
      <c r="D997" s="8">
        <f>IF($C997="","",IFERROR(INDEX('Master Inventory'!$B:$B,MATCH($C997,'Master Inventory'!$A:$A,0)),""))</f>
        <v/>
      </c>
      <c r="E997" s="8">
        <f>IF($C997="","",IFERROR(INDEX('Master Inventory'!$C:$C,MATCH($C997,'Master Inventory'!$A:$A,0)),""))</f>
        <v/>
      </c>
      <c r="F997" s="5" t="n"/>
      <c r="G997" s="5" t="n"/>
    </row>
    <row r="998">
      <c r="A998" s="5" t="n"/>
      <c r="B998" s="12" t="n"/>
      <c r="C998" s="5" t="n"/>
      <c r="D998" s="8">
        <f>IF($C998="","",IFERROR(INDEX('Master Inventory'!$B:$B,MATCH($C998,'Master Inventory'!$A:$A,0)),""))</f>
        <v/>
      </c>
      <c r="E998" s="8">
        <f>IF($C998="","",IFERROR(INDEX('Master Inventory'!$C:$C,MATCH($C998,'Master Inventory'!$A:$A,0)),""))</f>
        <v/>
      </c>
      <c r="F998" s="5" t="n"/>
      <c r="G998" s="5" t="n"/>
    </row>
    <row r="999">
      <c r="A999" s="5" t="n"/>
      <c r="B999" s="12" t="n"/>
      <c r="C999" s="5" t="n"/>
      <c r="D999" s="8">
        <f>IF($C999="","",IFERROR(INDEX('Master Inventory'!$B:$B,MATCH($C999,'Master Inventory'!$A:$A,0)),""))</f>
        <v/>
      </c>
      <c r="E999" s="8">
        <f>IF($C999="","",IFERROR(INDEX('Master Inventory'!$C:$C,MATCH($C999,'Master Inventory'!$A:$A,0)),""))</f>
        <v/>
      </c>
      <c r="F999" s="5" t="n"/>
      <c r="G999" s="5" t="n"/>
    </row>
    <row r="1000">
      <c r="A1000" s="5" t="n"/>
      <c r="B1000" s="12" t="n"/>
      <c r="C1000" s="5" t="n"/>
      <c r="D1000" s="8">
        <f>IF($C1000="","",IFERROR(INDEX('Master Inventory'!$B:$B,MATCH($C1000,'Master Inventory'!$A:$A,0)),""))</f>
        <v/>
      </c>
      <c r="E1000" s="8">
        <f>IF($C1000="","",IFERROR(INDEX('Master Inventory'!$C:$C,MATCH($C1000,'Master Inventory'!$A:$A,0)),""))</f>
        <v/>
      </c>
      <c r="F1000" s="5" t="n"/>
      <c r="G1000" s="5" t="n"/>
    </row>
    <row r="1001">
      <c r="A1001" s="5" t="n"/>
      <c r="B1001" s="12" t="n"/>
      <c r="C1001" s="5" t="n"/>
      <c r="D1001" s="8">
        <f>IF($C1001="","",IFERROR(INDEX('Master Inventory'!$B:$B,MATCH($C1001,'Master Inventory'!$A:$A,0)),""))</f>
        <v/>
      </c>
      <c r="E1001" s="8">
        <f>IF($C1001="","",IFERROR(INDEX('Master Inventory'!$C:$C,MATCH($C1001,'Master Inventory'!$A:$A,0)),""))</f>
        <v/>
      </c>
      <c r="F1001" s="5" t="n"/>
      <c r="G1001" s="5" t="n"/>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O1003"/>
  <sheetViews>
    <sheetView workbookViewId="0">
      <selection activeCell="A1" sqref="A1"/>
    </sheetView>
  </sheetViews>
  <sheetFormatPr baseColWidth="8" defaultRowHeight="15"/>
  <cols>
    <col width="10" customWidth="1" min="1" max="1"/>
    <col width="13" customWidth="1" min="2" max="2"/>
    <col width="11" customWidth="1" min="3" max="3"/>
    <col width="24" customWidth="1" min="4" max="4"/>
    <col width="10" customWidth="1" min="5" max="5"/>
    <col width="12" customWidth="1" min="6" max="6"/>
    <col width="12" customWidth="1" min="7" max="7"/>
    <col width="10" customWidth="1" min="8" max="8"/>
    <col width="11" customWidth="1" min="9" max="9"/>
    <col width="10" customWidth="1" min="10" max="10"/>
    <col width="18" customWidth="1" min="11" max="11"/>
    <col width="12" customWidth="1" min="12" max="12"/>
    <col width="13" customWidth="1" min="13" max="13"/>
    <col width="18" customWidth="1" min="14" max="14"/>
    <col width="17" customWidth="1" min="15" max="15"/>
  </cols>
  <sheetData>
    <row r="1">
      <c r="A1" s="10" t="inlineStr">
        <is>
          <t>Recount tolerance assumptions (% of system qty)</t>
        </is>
      </c>
      <c r="D1" s="10" t="inlineStr">
        <is>
          <t>A items</t>
        </is>
      </c>
      <c r="E1" s="14" t="n">
        <v>0</v>
      </c>
      <c r="F1" s="10" t="inlineStr">
        <is>
          <t>B items</t>
        </is>
      </c>
      <c r="G1" s="14" t="n">
        <v>0.02</v>
      </c>
      <c r="H1" s="10" t="inlineStr">
        <is>
          <t>C items</t>
        </is>
      </c>
      <c r="I1" s="14" t="n">
        <v>0.05</v>
      </c>
    </row>
    <row r="2">
      <c r="A2" s="15" t="inlineStr">
        <is>
          <t>Rule: never adjust the system quantity from the first count alone. RECOUNT items get a second count by a different person; only the verified recount quantity is written back, with a root cause logged.</t>
        </is>
      </c>
    </row>
    <row r="3">
      <c r="A3" s="4" t="inlineStr">
        <is>
          <t>Count ID</t>
        </is>
      </c>
      <c r="B3" s="4" t="inlineStr">
        <is>
          <t>Count Date</t>
        </is>
      </c>
      <c r="C3" s="4" t="inlineStr">
        <is>
          <t>Item ID</t>
        </is>
      </c>
      <c r="D3" s="4" t="inlineStr">
        <is>
          <t>Description</t>
        </is>
      </c>
      <c r="E3" s="4" t="inlineStr">
        <is>
          <t>ABC Class</t>
        </is>
      </c>
      <c r="F3" s="4" t="inlineStr">
        <is>
          <t>System Qty</t>
        </is>
      </c>
      <c r="G3" s="4" t="inlineStr">
        <is>
          <t>Counted Qty</t>
        </is>
      </c>
      <c r="H3" s="4" t="inlineStr">
        <is>
          <t>Variance</t>
        </is>
      </c>
      <c r="I3" s="4" t="inlineStr">
        <is>
          <t>Variance %</t>
        </is>
      </c>
      <c r="J3" s="4" t="inlineStr">
        <is>
          <t>Tolerance</t>
        </is>
      </c>
      <c r="K3" s="4" t="inlineStr">
        <is>
          <t>First-Count Result</t>
        </is>
      </c>
      <c r="L3" s="4" t="inlineStr">
        <is>
          <t>Recount Qty</t>
        </is>
      </c>
      <c r="M3" s="4" t="inlineStr">
        <is>
          <t>Final Variance</t>
        </is>
      </c>
      <c r="N3" s="4" t="inlineStr">
        <is>
          <t>Root Cause</t>
        </is>
      </c>
      <c r="O3" s="4" t="inlineStr">
        <is>
          <t>Adjustment Status</t>
        </is>
      </c>
    </row>
    <row r="4">
      <c r="A4">
        <f>IF('Blind Count Entry'!A2="","",'Blind Count Entry'!A2)</f>
        <v/>
      </c>
      <c r="B4" s="16">
        <f>IF($A4="","",'Blind Count Entry'!B2)</f>
        <v/>
      </c>
      <c r="C4">
        <f>IF($A4="","",'Blind Count Entry'!C2)</f>
        <v/>
      </c>
      <c r="D4">
        <f>IF($A4="","",'Blind Count Entry'!D2)</f>
        <v/>
      </c>
      <c r="E4">
        <f>IF($A4="","",IFERROR(INDEX('ABC Analysis'!$F:$F,MATCH($C4,'ABC Analysis'!$A:$A,0)),""))</f>
        <v/>
      </c>
      <c r="F4">
        <f>IF($A4="","",IFERROR(INDEX('Master Inventory'!$E:$E,MATCH($C4,'Master Inventory'!$A:$A,0)),0))</f>
        <v/>
      </c>
      <c r="G4">
        <f>IF($A4="","",'Blind Count Entry'!F2)</f>
        <v/>
      </c>
      <c r="H4">
        <f>IF($A4="","",G4-F4)</f>
        <v/>
      </c>
      <c r="I4" s="17">
        <f>IF($A4="","",IF(F4=0,IF(H4=0,0,1),ABS(H4)/F4))</f>
        <v/>
      </c>
      <c r="J4" s="18">
        <f>IF($A4="","",IF($E4="A",$E$1,IF($E4="B",$G$1,$I$1)))</f>
        <v/>
      </c>
      <c r="K4">
        <f>IF($A4="","",IF(H4=0,"MATCH",IF(I4&gt;J4,"RECOUNT","WITHIN TOLERANCE")))</f>
        <v/>
      </c>
      <c r="L4" s="5" t="n"/>
      <c r="M4">
        <f>IF(OR($A4="",$L4=""),"",L4-F4)</f>
        <v/>
      </c>
      <c r="N4" s="5" t="n"/>
      <c r="O4" s="5" t="n"/>
    </row>
    <row r="5">
      <c r="A5">
        <f>IF('Blind Count Entry'!A3="","",'Blind Count Entry'!A3)</f>
        <v/>
      </c>
      <c r="B5" s="16">
        <f>IF($A5="","",'Blind Count Entry'!B3)</f>
        <v/>
      </c>
      <c r="C5">
        <f>IF($A5="","",'Blind Count Entry'!C3)</f>
        <v/>
      </c>
      <c r="D5">
        <f>IF($A5="","",'Blind Count Entry'!D3)</f>
        <v/>
      </c>
      <c r="E5">
        <f>IF($A5="","",IFERROR(INDEX('ABC Analysis'!$F:$F,MATCH($C5,'ABC Analysis'!$A:$A,0)),""))</f>
        <v/>
      </c>
      <c r="F5">
        <f>IF($A5="","",IFERROR(INDEX('Master Inventory'!$E:$E,MATCH($C5,'Master Inventory'!$A:$A,0)),0))</f>
        <v/>
      </c>
      <c r="G5">
        <f>IF($A5="","",'Blind Count Entry'!F3)</f>
        <v/>
      </c>
      <c r="H5">
        <f>IF($A5="","",G5-F5)</f>
        <v/>
      </c>
      <c r="I5" s="17">
        <f>IF($A5="","",IF(F5=0,IF(H5=0,0,1),ABS(H5)/F5))</f>
        <v/>
      </c>
      <c r="J5" s="18">
        <f>IF($A5="","",IF($E5="A",$E$1,IF($E5="B",$G$1,$I$1)))</f>
        <v/>
      </c>
      <c r="K5">
        <f>IF($A5="","",IF(H5=0,"MATCH",IF(I5&gt;J5,"RECOUNT","WITHIN TOLERANCE")))</f>
        <v/>
      </c>
      <c r="L5" s="5" t="n"/>
      <c r="M5">
        <f>IF(OR($A5="",$L5=""),"",L5-F5)</f>
        <v/>
      </c>
      <c r="N5" s="5" t="n"/>
      <c r="O5" s="5" t="n"/>
    </row>
    <row r="6">
      <c r="A6">
        <f>IF('Blind Count Entry'!A4="","",'Blind Count Entry'!A4)</f>
        <v/>
      </c>
      <c r="B6" s="16">
        <f>IF($A6="","",'Blind Count Entry'!B4)</f>
        <v/>
      </c>
      <c r="C6">
        <f>IF($A6="","",'Blind Count Entry'!C4)</f>
        <v/>
      </c>
      <c r="D6">
        <f>IF($A6="","",'Blind Count Entry'!D4)</f>
        <v/>
      </c>
      <c r="E6">
        <f>IF($A6="","",IFERROR(INDEX('ABC Analysis'!$F:$F,MATCH($C6,'ABC Analysis'!$A:$A,0)),""))</f>
        <v/>
      </c>
      <c r="F6">
        <f>IF($A6="","",IFERROR(INDEX('Master Inventory'!$E:$E,MATCH($C6,'Master Inventory'!$A:$A,0)),0))</f>
        <v/>
      </c>
      <c r="G6">
        <f>IF($A6="","",'Blind Count Entry'!F4)</f>
        <v/>
      </c>
      <c r="H6">
        <f>IF($A6="","",G6-F6)</f>
        <v/>
      </c>
      <c r="I6" s="17">
        <f>IF($A6="","",IF(F6=0,IF(H6=0,0,1),ABS(H6)/F6))</f>
        <v/>
      </c>
      <c r="J6" s="18">
        <f>IF($A6="","",IF($E6="A",$E$1,IF($E6="B",$G$1,$I$1)))</f>
        <v/>
      </c>
      <c r="K6">
        <f>IF($A6="","",IF(H6=0,"MATCH",IF(I6&gt;J6,"RECOUNT","WITHIN TOLERANCE")))</f>
        <v/>
      </c>
      <c r="L6" s="5" t="n"/>
      <c r="M6">
        <f>IF(OR($A6="",$L6=""),"",L6-F6)</f>
        <v/>
      </c>
      <c r="N6" s="5" t="n"/>
      <c r="O6" s="5" t="n"/>
    </row>
    <row r="7">
      <c r="A7">
        <f>IF('Blind Count Entry'!A5="","",'Blind Count Entry'!A5)</f>
        <v/>
      </c>
      <c r="B7" s="16">
        <f>IF($A7="","",'Blind Count Entry'!B5)</f>
        <v/>
      </c>
      <c r="C7">
        <f>IF($A7="","",'Blind Count Entry'!C5)</f>
        <v/>
      </c>
      <c r="D7">
        <f>IF($A7="","",'Blind Count Entry'!D5)</f>
        <v/>
      </c>
      <c r="E7">
        <f>IF($A7="","",IFERROR(INDEX('ABC Analysis'!$F:$F,MATCH($C7,'ABC Analysis'!$A:$A,0)),""))</f>
        <v/>
      </c>
      <c r="F7">
        <f>IF($A7="","",IFERROR(INDEX('Master Inventory'!$E:$E,MATCH($C7,'Master Inventory'!$A:$A,0)),0))</f>
        <v/>
      </c>
      <c r="G7">
        <f>IF($A7="","",'Blind Count Entry'!F5)</f>
        <v/>
      </c>
      <c r="H7">
        <f>IF($A7="","",G7-F7)</f>
        <v/>
      </c>
      <c r="I7" s="17">
        <f>IF($A7="","",IF(F7=0,IF(H7=0,0,1),ABS(H7)/F7))</f>
        <v/>
      </c>
      <c r="J7" s="18">
        <f>IF($A7="","",IF($E7="A",$E$1,IF($E7="B",$G$1,$I$1)))</f>
        <v/>
      </c>
      <c r="K7">
        <f>IF($A7="","",IF(H7=0,"MATCH",IF(I7&gt;J7,"RECOUNT","WITHIN TOLERANCE")))</f>
        <v/>
      </c>
      <c r="L7" s="5" t="n">
        <v>42</v>
      </c>
      <c r="M7">
        <f>IF(OR($A7="",$L7=""),"",L7-F7)</f>
        <v/>
      </c>
      <c r="N7" s="5" t="inlineStr">
        <is>
          <t>Count error</t>
        </is>
      </c>
      <c r="O7" s="5" t="inlineStr">
        <is>
          <t>No action needed</t>
        </is>
      </c>
    </row>
    <row r="8">
      <c r="A8">
        <f>IF('Blind Count Entry'!A6="","",'Blind Count Entry'!A6)</f>
        <v/>
      </c>
      <c r="B8" s="16">
        <f>IF($A8="","",'Blind Count Entry'!B6)</f>
        <v/>
      </c>
      <c r="C8">
        <f>IF($A8="","",'Blind Count Entry'!C6)</f>
        <v/>
      </c>
      <c r="D8">
        <f>IF($A8="","",'Blind Count Entry'!D6)</f>
        <v/>
      </c>
      <c r="E8">
        <f>IF($A8="","",IFERROR(INDEX('ABC Analysis'!$F:$F,MATCH($C8,'ABC Analysis'!$A:$A,0)),""))</f>
        <v/>
      </c>
      <c r="F8">
        <f>IF($A8="","",IFERROR(INDEX('Master Inventory'!$E:$E,MATCH($C8,'Master Inventory'!$A:$A,0)),0))</f>
        <v/>
      </c>
      <c r="G8">
        <f>IF($A8="","",'Blind Count Entry'!F6)</f>
        <v/>
      </c>
      <c r="H8">
        <f>IF($A8="","",G8-F8)</f>
        <v/>
      </c>
      <c r="I8" s="17">
        <f>IF($A8="","",IF(F8=0,IF(H8=0,0,1),ABS(H8)/F8))</f>
        <v/>
      </c>
      <c r="J8" s="18">
        <f>IF($A8="","",IF($E8="A",$E$1,IF($E8="B",$G$1,$I$1)))</f>
        <v/>
      </c>
      <c r="K8">
        <f>IF($A8="","",IF(H8=0,"MATCH",IF(I8&gt;J8,"RECOUNT","WITHIN TOLERANCE")))</f>
        <v/>
      </c>
      <c r="L8" s="5" t="n">
        <v>13</v>
      </c>
      <c r="M8">
        <f>IF(OR($A8="",$L8=""),"",L8-F8)</f>
        <v/>
      </c>
      <c r="N8" s="5" t="inlineStr">
        <is>
          <t>Receiving error</t>
        </is>
      </c>
      <c r="O8" s="5" t="inlineStr">
        <is>
          <t>Adjusted</t>
        </is>
      </c>
    </row>
    <row r="9">
      <c r="A9">
        <f>IF('Blind Count Entry'!A7="","",'Blind Count Entry'!A7)</f>
        <v/>
      </c>
      <c r="B9" s="16">
        <f>IF($A9="","",'Blind Count Entry'!B7)</f>
        <v/>
      </c>
      <c r="C9">
        <f>IF($A9="","",'Blind Count Entry'!C7)</f>
        <v/>
      </c>
      <c r="D9">
        <f>IF($A9="","",'Blind Count Entry'!D7)</f>
        <v/>
      </c>
      <c r="E9">
        <f>IF($A9="","",IFERROR(INDEX('ABC Analysis'!$F:$F,MATCH($C9,'ABC Analysis'!$A:$A,0)),""))</f>
        <v/>
      </c>
      <c r="F9">
        <f>IF($A9="","",IFERROR(INDEX('Master Inventory'!$E:$E,MATCH($C9,'Master Inventory'!$A:$A,0)),0))</f>
        <v/>
      </c>
      <c r="G9">
        <f>IF($A9="","",'Blind Count Entry'!F7)</f>
        <v/>
      </c>
      <c r="H9">
        <f>IF($A9="","",G9-F9)</f>
        <v/>
      </c>
      <c r="I9" s="17">
        <f>IF($A9="","",IF(F9=0,IF(H9=0,0,1),ABS(H9)/F9))</f>
        <v/>
      </c>
      <c r="J9" s="18">
        <f>IF($A9="","",IF($E9="A",$E$1,IF($E9="B",$G$1,$I$1)))</f>
        <v/>
      </c>
      <c r="K9">
        <f>IF($A9="","",IF(H9=0,"MATCH",IF(I9&gt;J9,"RECOUNT","WITHIN TOLERANCE")))</f>
        <v/>
      </c>
      <c r="L9" s="5" t="n"/>
      <c r="M9">
        <f>IF(OR($A9="",$L9=""),"",L9-F9)</f>
        <v/>
      </c>
      <c r="N9" s="5" t="n"/>
      <c r="O9" s="5" t="n"/>
    </row>
    <row r="10">
      <c r="A10">
        <f>IF('Blind Count Entry'!A8="","",'Blind Count Entry'!A8)</f>
        <v/>
      </c>
      <c r="B10" s="16">
        <f>IF($A10="","",'Blind Count Entry'!B8)</f>
        <v/>
      </c>
      <c r="C10">
        <f>IF($A10="","",'Blind Count Entry'!C8)</f>
        <v/>
      </c>
      <c r="D10">
        <f>IF($A10="","",'Blind Count Entry'!D8)</f>
        <v/>
      </c>
      <c r="E10">
        <f>IF($A10="","",IFERROR(INDEX('ABC Analysis'!$F:$F,MATCH($C10,'ABC Analysis'!$A:$A,0)),""))</f>
        <v/>
      </c>
      <c r="F10">
        <f>IF($A10="","",IFERROR(INDEX('Master Inventory'!$E:$E,MATCH($C10,'Master Inventory'!$A:$A,0)),0))</f>
        <v/>
      </c>
      <c r="G10">
        <f>IF($A10="","",'Blind Count Entry'!F8)</f>
        <v/>
      </c>
      <c r="H10">
        <f>IF($A10="","",G10-F10)</f>
        <v/>
      </c>
      <c r="I10" s="17">
        <f>IF($A10="","",IF(F10=0,IF(H10=0,0,1),ABS(H10)/F10))</f>
        <v/>
      </c>
      <c r="J10" s="18">
        <f>IF($A10="","",IF($E10="A",$E$1,IF($E10="B",$G$1,$I$1)))</f>
        <v/>
      </c>
      <c r="K10">
        <f>IF($A10="","",IF(H10=0,"MATCH",IF(I10&gt;J10,"RECOUNT","WITHIN TOLERANCE")))</f>
        <v/>
      </c>
      <c r="L10" s="5" t="n"/>
      <c r="M10">
        <f>IF(OR($A10="",$L10=""),"",L10-F10)</f>
        <v/>
      </c>
      <c r="N10" s="5" t="n"/>
      <c r="O10" s="5" t="n"/>
    </row>
    <row r="11">
      <c r="A11">
        <f>IF('Blind Count Entry'!A9="","",'Blind Count Entry'!A9)</f>
        <v/>
      </c>
      <c r="B11" s="16">
        <f>IF($A11="","",'Blind Count Entry'!B9)</f>
        <v/>
      </c>
      <c r="C11">
        <f>IF($A11="","",'Blind Count Entry'!C9)</f>
        <v/>
      </c>
      <c r="D11">
        <f>IF($A11="","",'Blind Count Entry'!D9)</f>
        <v/>
      </c>
      <c r="E11">
        <f>IF($A11="","",IFERROR(INDEX('ABC Analysis'!$F:$F,MATCH($C11,'ABC Analysis'!$A:$A,0)),""))</f>
        <v/>
      </c>
      <c r="F11">
        <f>IF($A11="","",IFERROR(INDEX('Master Inventory'!$E:$E,MATCH($C11,'Master Inventory'!$A:$A,0)),0))</f>
        <v/>
      </c>
      <c r="G11">
        <f>IF($A11="","",'Blind Count Entry'!F9)</f>
        <v/>
      </c>
      <c r="H11">
        <f>IF($A11="","",G11-F11)</f>
        <v/>
      </c>
      <c r="I11" s="17">
        <f>IF($A11="","",IF(F11=0,IF(H11=0,0,1),ABS(H11)/F11))</f>
        <v/>
      </c>
      <c r="J11" s="18">
        <f>IF($A11="","",IF($E11="A",$E$1,IF($E11="B",$G$1,$I$1)))</f>
        <v/>
      </c>
      <c r="K11">
        <f>IF($A11="","",IF(H11=0,"MATCH",IF(I11&gt;J11,"RECOUNT","WITHIN TOLERANCE")))</f>
        <v/>
      </c>
      <c r="L11" s="5" t="n"/>
      <c r="M11">
        <f>IF(OR($A11="",$L11=""),"",L11-F11)</f>
        <v/>
      </c>
      <c r="N11" s="5" t="n"/>
      <c r="O11" s="5" t="inlineStr">
        <is>
          <t>Pending recount</t>
        </is>
      </c>
    </row>
    <row r="12">
      <c r="A12">
        <f>IF('Blind Count Entry'!A10="","",'Blind Count Entry'!A10)</f>
        <v/>
      </c>
      <c r="B12" s="16">
        <f>IF($A12="","",'Blind Count Entry'!B10)</f>
        <v/>
      </c>
      <c r="C12">
        <f>IF($A12="","",'Blind Count Entry'!C10)</f>
        <v/>
      </c>
      <c r="D12">
        <f>IF($A12="","",'Blind Count Entry'!D10)</f>
        <v/>
      </c>
      <c r="E12">
        <f>IF($A12="","",IFERROR(INDEX('ABC Analysis'!$F:$F,MATCH($C12,'ABC Analysis'!$A:$A,0)),""))</f>
        <v/>
      </c>
      <c r="F12">
        <f>IF($A12="","",IFERROR(INDEX('Master Inventory'!$E:$E,MATCH($C12,'Master Inventory'!$A:$A,0)),0))</f>
        <v/>
      </c>
      <c r="G12">
        <f>IF($A12="","",'Blind Count Entry'!F10)</f>
        <v/>
      </c>
      <c r="H12">
        <f>IF($A12="","",G12-F12)</f>
        <v/>
      </c>
      <c r="I12" s="17">
        <f>IF($A12="","",IF(F12=0,IF(H12=0,0,1),ABS(H12)/F12))</f>
        <v/>
      </c>
      <c r="J12" s="18">
        <f>IF($A12="","",IF($E12="A",$E$1,IF($E12="B",$G$1,$I$1)))</f>
        <v/>
      </c>
      <c r="K12">
        <f>IF($A12="","",IF(H12=0,"MATCH",IF(I12&gt;J12,"RECOUNT","WITHIN TOLERANCE")))</f>
        <v/>
      </c>
      <c r="L12" s="5" t="n"/>
      <c r="M12">
        <f>IF(OR($A12="",$L12=""),"",L12-F12)</f>
        <v/>
      </c>
      <c r="N12" s="5" t="n"/>
      <c r="O12" s="5" t="n"/>
    </row>
    <row r="13">
      <c r="A13">
        <f>IF('Blind Count Entry'!A11="","",'Blind Count Entry'!A11)</f>
        <v/>
      </c>
      <c r="B13" s="16">
        <f>IF($A13="","",'Blind Count Entry'!B11)</f>
        <v/>
      </c>
      <c r="C13">
        <f>IF($A13="","",'Blind Count Entry'!C11)</f>
        <v/>
      </c>
      <c r="D13">
        <f>IF($A13="","",'Blind Count Entry'!D11)</f>
        <v/>
      </c>
      <c r="E13">
        <f>IF($A13="","",IFERROR(INDEX('ABC Analysis'!$F:$F,MATCH($C13,'ABC Analysis'!$A:$A,0)),""))</f>
        <v/>
      </c>
      <c r="F13">
        <f>IF($A13="","",IFERROR(INDEX('Master Inventory'!$E:$E,MATCH($C13,'Master Inventory'!$A:$A,0)),0))</f>
        <v/>
      </c>
      <c r="G13">
        <f>IF($A13="","",'Blind Count Entry'!F11)</f>
        <v/>
      </c>
      <c r="H13">
        <f>IF($A13="","",G13-F13)</f>
        <v/>
      </c>
      <c r="I13" s="17">
        <f>IF($A13="","",IF(F13=0,IF(H13=0,0,1),ABS(H13)/F13))</f>
        <v/>
      </c>
      <c r="J13" s="18">
        <f>IF($A13="","",IF($E13="A",$E$1,IF($E13="B",$G$1,$I$1)))</f>
        <v/>
      </c>
      <c r="K13">
        <f>IF($A13="","",IF(H13=0,"MATCH",IF(I13&gt;J13,"RECOUNT","WITHIN TOLERANCE")))</f>
        <v/>
      </c>
      <c r="L13" s="5" t="n"/>
      <c r="M13">
        <f>IF(OR($A13="",$L13=""),"",L13-F13)</f>
        <v/>
      </c>
      <c r="N13" s="5" t="n"/>
      <c r="O13" s="5" t="n"/>
    </row>
    <row r="14">
      <c r="A14">
        <f>IF('Blind Count Entry'!A12="","",'Blind Count Entry'!A12)</f>
        <v/>
      </c>
      <c r="B14" s="16">
        <f>IF($A14="","",'Blind Count Entry'!B12)</f>
        <v/>
      </c>
      <c r="C14">
        <f>IF($A14="","",'Blind Count Entry'!C12)</f>
        <v/>
      </c>
      <c r="D14">
        <f>IF($A14="","",'Blind Count Entry'!D12)</f>
        <v/>
      </c>
      <c r="E14">
        <f>IF($A14="","",IFERROR(INDEX('ABC Analysis'!$F:$F,MATCH($C14,'ABC Analysis'!$A:$A,0)),""))</f>
        <v/>
      </c>
      <c r="F14">
        <f>IF($A14="","",IFERROR(INDEX('Master Inventory'!$E:$E,MATCH($C14,'Master Inventory'!$A:$A,0)),0))</f>
        <v/>
      </c>
      <c r="G14">
        <f>IF($A14="","",'Blind Count Entry'!F12)</f>
        <v/>
      </c>
      <c r="H14">
        <f>IF($A14="","",G14-F14)</f>
        <v/>
      </c>
      <c r="I14" s="17">
        <f>IF($A14="","",IF(F14=0,IF(H14=0,0,1),ABS(H14)/F14))</f>
        <v/>
      </c>
      <c r="J14" s="18">
        <f>IF($A14="","",IF($E14="A",$E$1,IF($E14="B",$G$1,$I$1)))</f>
        <v/>
      </c>
      <c r="K14">
        <f>IF($A14="","",IF(H14=0,"MATCH",IF(I14&gt;J14,"RECOUNT","WITHIN TOLERANCE")))</f>
        <v/>
      </c>
      <c r="L14" s="5" t="n"/>
      <c r="M14">
        <f>IF(OR($A14="",$L14=""),"",L14-F14)</f>
        <v/>
      </c>
      <c r="N14" s="5" t="n"/>
      <c r="O14" s="5" t="n"/>
    </row>
    <row r="15">
      <c r="A15">
        <f>IF('Blind Count Entry'!A13="","",'Blind Count Entry'!A13)</f>
        <v/>
      </c>
      <c r="B15" s="16">
        <f>IF($A15="","",'Blind Count Entry'!B13)</f>
        <v/>
      </c>
      <c r="C15">
        <f>IF($A15="","",'Blind Count Entry'!C13)</f>
        <v/>
      </c>
      <c r="D15">
        <f>IF($A15="","",'Blind Count Entry'!D13)</f>
        <v/>
      </c>
      <c r="E15">
        <f>IF($A15="","",IFERROR(INDEX('ABC Analysis'!$F:$F,MATCH($C15,'ABC Analysis'!$A:$A,0)),""))</f>
        <v/>
      </c>
      <c r="F15">
        <f>IF($A15="","",IFERROR(INDEX('Master Inventory'!$E:$E,MATCH($C15,'Master Inventory'!$A:$A,0)),0))</f>
        <v/>
      </c>
      <c r="G15">
        <f>IF($A15="","",'Blind Count Entry'!F13)</f>
        <v/>
      </c>
      <c r="H15">
        <f>IF($A15="","",G15-F15)</f>
        <v/>
      </c>
      <c r="I15" s="17">
        <f>IF($A15="","",IF(F15=0,IF(H15=0,0,1),ABS(H15)/F15))</f>
        <v/>
      </c>
      <c r="J15" s="18">
        <f>IF($A15="","",IF($E15="A",$E$1,IF($E15="B",$G$1,$I$1)))</f>
        <v/>
      </c>
      <c r="K15">
        <f>IF($A15="","",IF(H15=0,"MATCH",IF(I15&gt;J15,"RECOUNT","WITHIN TOLERANCE")))</f>
        <v/>
      </c>
      <c r="L15" s="5" t="n"/>
      <c r="M15">
        <f>IF(OR($A15="",$L15=""),"",L15-F15)</f>
        <v/>
      </c>
      <c r="N15" s="5" t="n"/>
      <c r="O15" s="5" t="n"/>
    </row>
    <row r="16">
      <c r="A16">
        <f>IF('Blind Count Entry'!A14="","",'Blind Count Entry'!A14)</f>
        <v/>
      </c>
      <c r="B16" s="16">
        <f>IF($A16="","",'Blind Count Entry'!B14)</f>
        <v/>
      </c>
      <c r="C16">
        <f>IF($A16="","",'Blind Count Entry'!C14)</f>
        <v/>
      </c>
      <c r="D16">
        <f>IF($A16="","",'Blind Count Entry'!D14)</f>
        <v/>
      </c>
      <c r="E16">
        <f>IF($A16="","",IFERROR(INDEX('ABC Analysis'!$F:$F,MATCH($C16,'ABC Analysis'!$A:$A,0)),""))</f>
        <v/>
      </c>
      <c r="F16">
        <f>IF($A16="","",IFERROR(INDEX('Master Inventory'!$E:$E,MATCH($C16,'Master Inventory'!$A:$A,0)),0))</f>
        <v/>
      </c>
      <c r="G16">
        <f>IF($A16="","",'Blind Count Entry'!F14)</f>
        <v/>
      </c>
      <c r="H16">
        <f>IF($A16="","",G16-F16)</f>
        <v/>
      </c>
      <c r="I16" s="17">
        <f>IF($A16="","",IF(F16=0,IF(H16=0,0,1),ABS(H16)/F16))</f>
        <v/>
      </c>
      <c r="J16" s="18">
        <f>IF($A16="","",IF($E16="A",$E$1,IF($E16="B",$G$1,$I$1)))</f>
        <v/>
      </c>
      <c r="K16">
        <f>IF($A16="","",IF(H16=0,"MATCH",IF(I16&gt;J16,"RECOUNT","WITHIN TOLERANCE")))</f>
        <v/>
      </c>
      <c r="L16" s="5" t="n"/>
      <c r="M16">
        <f>IF(OR($A16="",$L16=""),"",L16-F16)</f>
        <v/>
      </c>
      <c r="N16" s="5" t="n"/>
      <c r="O16" s="5" t="n"/>
    </row>
    <row r="17">
      <c r="A17">
        <f>IF('Blind Count Entry'!A15="","",'Blind Count Entry'!A15)</f>
        <v/>
      </c>
      <c r="B17" s="16">
        <f>IF($A17="","",'Blind Count Entry'!B15)</f>
        <v/>
      </c>
      <c r="C17">
        <f>IF($A17="","",'Blind Count Entry'!C15)</f>
        <v/>
      </c>
      <c r="D17">
        <f>IF($A17="","",'Blind Count Entry'!D15)</f>
        <v/>
      </c>
      <c r="E17">
        <f>IF($A17="","",IFERROR(INDEX('ABC Analysis'!$F:$F,MATCH($C17,'ABC Analysis'!$A:$A,0)),""))</f>
        <v/>
      </c>
      <c r="F17">
        <f>IF($A17="","",IFERROR(INDEX('Master Inventory'!$E:$E,MATCH($C17,'Master Inventory'!$A:$A,0)),0))</f>
        <v/>
      </c>
      <c r="G17">
        <f>IF($A17="","",'Blind Count Entry'!F15)</f>
        <v/>
      </c>
      <c r="H17">
        <f>IF($A17="","",G17-F17)</f>
        <v/>
      </c>
      <c r="I17" s="17">
        <f>IF($A17="","",IF(F17=0,IF(H17=0,0,1),ABS(H17)/F17))</f>
        <v/>
      </c>
      <c r="J17" s="18">
        <f>IF($A17="","",IF($E17="A",$E$1,IF($E17="B",$G$1,$I$1)))</f>
        <v/>
      </c>
      <c r="K17">
        <f>IF($A17="","",IF(H17=0,"MATCH",IF(I17&gt;J17,"RECOUNT","WITHIN TOLERANCE")))</f>
        <v/>
      </c>
      <c r="L17" s="5" t="n"/>
      <c r="M17">
        <f>IF(OR($A17="",$L17=""),"",L17-F17)</f>
        <v/>
      </c>
      <c r="N17" s="5" t="n"/>
      <c r="O17" s="5" t="n"/>
    </row>
    <row r="18">
      <c r="A18">
        <f>IF('Blind Count Entry'!A16="","",'Blind Count Entry'!A16)</f>
        <v/>
      </c>
      <c r="B18" s="16">
        <f>IF($A18="","",'Blind Count Entry'!B16)</f>
        <v/>
      </c>
      <c r="C18">
        <f>IF($A18="","",'Blind Count Entry'!C16)</f>
        <v/>
      </c>
      <c r="D18">
        <f>IF($A18="","",'Blind Count Entry'!D16)</f>
        <v/>
      </c>
      <c r="E18">
        <f>IF($A18="","",IFERROR(INDEX('ABC Analysis'!$F:$F,MATCH($C18,'ABC Analysis'!$A:$A,0)),""))</f>
        <v/>
      </c>
      <c r="F18">
        <f>IF($A18="","",IFERROR(INDEX('Master Inventory'!$E:$E,MATCH($C18,'Master Inventory'!$A:$A,0)),0))</f>
        <v/>
      </c>
      <c r="G18">
        <f>IF($A18="","",'Blind Count Entry'!F16)</f>
        <v/>
      </c>
      <c r="H18">
        <f>IF($A18="","",G18-F18)</f>
        <v/>
      </c>
      <c r="I18" s="17">
        <f>IF($A18="","",IF(F18=0,IF(H18=0,0,1),ABS(H18)/F18))</f>
        <v/>
      </c>
      <c r="J18" s="18">
        <f>IF($A18="","",IF($E18="A",$E$1,IF($E18="B",$G$1,$I$1)))</f>
        <v/>
      </c>
      <c r="K18">
        <f>IF($A18="","",IF(H18=0,"MATCH",IF(I18&gt;J18,"RECOUNT","WITHIN TOLERANCE")))</f>
        <v/>
      </c>
      <c r="L18" s="5" t="n"/>
      <c r="M18">
        <f>IF(OR($A18="",$L18=""),"",L18-F18)</f>
        <v/>
      </c>
      <c r="N18" s="5" t="n"/>
      <c r="O18" s="5" t="n"/>
    </row>
    <row r="19">
      <c r="A19">
        <f>IF('Blind Count Entry'!A17="","",'Blind Count Entry'!A17)</f>
        <v/>
      </c>
      <c r="B19" s="16">
        <f>IF($A19="","",'Blind Count Entry'!B17)</f>
        <v/>
      </c>
      <c r="C19">
        <f>IF($A19="","",'Blind Count Entry'!C17)</f>
        <v/>
      </c>
      <c r="D19">
        <f>IF($A19="","",'Blind Count Entry'!D17)</f>
        <v/>
      </c>
      <c r="E19">
        <f>IF($A19="","",IFERROR(INDEX('ABC Analysis'!$F:$F,MATCH($C19,'ABC Analysis'!$A:$A,0)),""))</f>
        <v/>
      </c>
      <c r="F19">
        <f>IF($A19="","",IFERROR(INDEX('Master Inventory'!$E:$E,MATCH($C19,'Master Inventory'!$A:$A,0)),0))</f>
        <v/>
      </c>
      <c r="G19">
        <f>IF($A19="","",'Blind Count Entry'!F17)</f>
        <v/>
      </c>
      <c r="H19">
        <f>IF($A19="","",G19-F19)</f>
        <v/>
      </c>
      <c r="I19" s="17">
        <f>IF($A19="","",IF(F19=0,IF(H19=0,0,1),ABS(H19)/F19))</f>
        <v/>
      </c>
      <c r="J19" s="18">
        <f>IF($A19="","",IF($E19="A",$E$1,IF($E19="B",$G$1,$I$1)))</f>
        <v/>
      </c>
      <c r="K19">
        <f>IF($A19="","",IF(H19=0,"MATCH",IF(I19&gt;J19,"RECOUNT","WITHIN TOLERANCE")))</f>
        <v/>
      </c>
      <c r="L19" s="5" t="n"/>
      <c r="M19">
        <f>IF(OR($A19="",$L19=""),"",L19-F19)</f>
        <v/>
      </c>
      <c r="N19" s="5" t="n"/>
      <c r="O19" s="5" t="n"/>
    </row>
    <row r="20">
      <c r="A20">
        <f>IF('Blind Count Entry'!A18="","",'Blind Count Entry'!A18)</f>
        <v/>
      </c>
      <c r="B20" s="16">
        <f>IF($A20="","",'Blind Count Entry'!B18)</f>
        <v/>
      </c>
      <c r="C20">
        <f>IF($A20="","",'Blind Count Entry'!C18)</f>
        <v/>
      </c>
      <c r="D20">
        <f>IF($A20="","",'Blind Count Entry'!D18)</f>
        <v/>
      </c>
      <c r="E20">
        <f>IF($A20="","",IFERROR(INDEX('ABC Analysis'!$F:$F,MATCH($C20,'ABC Analysis'!$A:$A,0)),""))</f>
        <v/>
      </c>
      <c r="F20">
        <f>IF($A20="","",IFERROR(INDEX('Master Inventory'!$E:$E,MATCH($C20,'Master Inventory'!$A:$A,0)),0))</f>
        <v/>
      </c>
      <c r="G20">
        <f>IF($A20="","",'Blind Count Entry'!F18)</f>
        <v/>
      </c>
      <c r="H20">
        <f>IF($A20="","",G20-F20)</f>
        <v/>
      </c>
      <c r="I20" s="17">
        <f>IF($A20="","",IF(F20=0,IF(H20=0,0,1),ABS(H20)/F20))</f>
        <v/>
      </c>
      <c r="J20" s="18">
        <f>IF($A20="","",IF($E20="A",$E$1,IF($E20="B",$G$1,$I$1)))</f>
        <v/>
      </c>
      <c r="K20">
        <f>IF($A20="","",IF(H20=0,"MATCH",IF(I20&gt;J20,"RECOUNT","WITHIN TOLERANCE")))</f>
        <v/>
      </c>
      <c r="L20" s="5" t="n"/>
      <c r="M20">
        <f>IF(OR($A20="",$L20=""),"",L20-F20)</f>
        <v/>
      </c>
      <c r="N20" s="5" t="n"/>
      <c r="O20" s="5" t="n"/>
    </row>
    <row r="21">
      <c r="A21">
        <f>IF('Blind Count Entry'!A19="","",'Blind Count Entry'!A19)</f>
        <v/>
      </c>
      <c r="B21" s="16">
        <f>IF($A21="","",'Blind Count Entry'!B19)</f>
        <v/>
      </c>
      <c r="C21">
        <f>IF($A21="","",'Blind Count Entry'!C19)</f>
        <v/>
      </c>
      <c r="D21">
        <f>IF($A21="","",'Blind Count Entry'!D19)</f>
        <v/>
      </c>
      <c r="E21">
        <f>IF($A21="","",IFERROR(INDEX('ABC Analysis'!$F:$F,MATCH($C21,'ABC Analysis'!$A:$A,0)),""))</f>
        <v/>
      </c>
      <c r="F21">
        <f>IF($A21="","",IFERROR(INDEX('Master Inventory'!$E:$E,MATCH($C21,'Master Inventory'!$A:$A,0)),0))</f>
        <v/>
      </c>
      <c r="G21">
        <f>IF($A21="","",'Blind Count Entry'!F19)</f>
        <v/>
      </c>
      <c r="H21">
        <f>IF($A21="","",G21-F21)</f>
        <v/>
      </c>
      <c r="I21" s="17">
        <f>IF($A21="","",IF(F21=0,IF(H21=0,0,1),ABS(H21)/F21))</f>
        <v/>
      </c>
      <c r="J21" s="18">
        <f>IF($A21="","",IF($E21="A",$E$1,IF($E21="B",$G$1,$I$1)))</f>
        <v/>
      </c>
      <c r="K21">
        <f>IF($A21="","",IF(H21=0,"MATCH",IF(I21&gt;J21,"RECOUNT","WITHIN TOLERANCE")))</f>
        <v/>
      </c>
      <c r="L21" s="5" t="n"/>
      <c r="M21">
        <f>IF(OR($A21="",$L21=""),"",L21-F21)</f>
        <v/>
      </c>
      <c r="N21" s="5" t="n"/>
      <c r="O21" s="5" t="n"/>
    </row>
    <row r="22">
      <c r="A22">
        <f>IF('Blind Count Entry'!A20="","",'Blind Count Entry'!A20)</f>
        <v/>
      </c>
      <c r="B22" s="16">
        <f>IF($A22="","",'Blind Count Entry'!B20)</f>
        <v/>
      </c>
      <c r="C22">
        <f>IF($A22="","",'Blind Count Entry'!C20)</f>
        <v/>
      </c>
      <c r="D22">
        <f>IF($A22="","",'Blind Count Entry'!D20)</f>
        <v/>
      </c>
      <c r="E22">
        <f>IF($A22="","",IFERROR(INDEX('ABC Analysis'!$F:$F,MATCH($C22,'ABC Analysis'!$A:$A,0)),""))</f>
        <v/>
      </c>
      <c r="F22">
        <f>IF($A22="","",IFERROR(INDEX('Master Inventory'!$E:$E,MATCH($C22,'Master Inventory'!$A:$A,0)),0))</f>
        <v/>
      </c>
      <c r="G22">
        <f>IF($A22="","",'Blind Count Entry'!F20)</f>
        <v/>
      </c>
      <c r="H22">
        <f>IF($A22="","",G22-F22)</f>
        <v/>
      </c>
      <c r="I22" s="17">
        <f>IF($A22="","",IF(F22=0,IF(H22=0,0,1),ABS(H22)/F22))</f>
        <v/>
      </c>
      <c r="J22" s="18">
        <f>IF($A22="","",IF($E22="A",$E$1,IF($E22="B",$G$1,$I$1)))</f>
        <v/>
      </c>
      <c r="K22">
        <f>IF($A22="","",IF(H22=0,"MATCH",IF(I22&gt;J22,"RECOUNT","WITHIN TOLERANCE")))</f>
        <v/>
      </c>
      <c r="L22" s="5" t="n"/>
      <c r="M22">
        <f>IF(OR($A22="",$L22=""),"",L22-F22)</f>
        <v/>
      </c>
      <c r="N22" s="5" t="n"/>
      <c r="O22" s="5" t="n"/>
    </row>
    <row r="23">
      <c r="A23">
        <f>IF('Blind Count Entry'!A21="","",'Blind Count Entry'!A21)</f>
        <v/>
      </c>
      <c r="B23" s="16">
        <f>IF($A23="","",'Blind Count Entry'!B21)</f>
        <v/>
      </c>
      <c r="C23">
        <f>IF($A23="","",'Blind Count Entry'!C21)</f>
        <v/>
      </c>
      <c r="D23">
        <f>IF($A23="","",'Blind Count Entry'!D21)</f>
        <v/>
      </c>
      <c r="E23">
        <f>IF($A23="","",IFERROR(INDEX('ABC Analysis'!$F:$F,MATCH($C23,'ABC Analysis'!$A:$A,0)),""))</f>
        <v/>
      </c>
      <c r="F23">
        <f>IF($A23="","",IFERROR(INDEX('Master Inventory'!$E:$E,MATCH($C23,'Master Inventory'!$A:$A,0)),0))</f>
        <v/>
      </c>
      <c r="G23">
        <f>IF($A23="","",'Blind Count Entry'!F21)</f>
        <v/>
      </c>
      <c r="H23">
        <f>IF($A23="","",G23-F23)</f>
        <v/>
      </c>
      <c r="I23" s="17">
        <f>IF($A23="","",IF(F23=0,IF(H23=0,0,1),ABS(H23)/F23))</f>
        <v/>
      </c>
      <c r="J23" s="18">
        <f>IF($A23="","",IF($E23="A",$E$1,IF($E23="B",$G$1,$I$1)))</f>
        <v/>
      </c>
      <c r="K23">
        <f>IF($A23="","",IF(H23=0,"MATCH",IF(I23&gt;J23,"RECOUNT","WITHIN TOLERANCE")))</f>
        <v/>
      </c>
      <c r="L23" s="5" t="n"/>
      <c r="M23">
        <f>IF(OR($A23="",$L23=""),"",L23-F23)</f>
        <v/>
      </c>
      <c r="N23" s="5" t="n"/>
      <c r="O23" s="5" t="n"/>
    </row>
    <row r="24">
      <c r="A24">
        <f>IF('Blind Count Entry'!A22="","",'Blind Count Entry'!A22)</f>
        <v/>
      </c>
      <c r="B24" s="16">
        <f>IF($A24="","",'Blind Count Entry'!B22)</f>
        <v/>
      </c>
      <c r="C24">
        <f>IF($A24="","",'Blind Count Entry'!C22)</f>
        <v/>
      </c>
      <c r="D24">
        <f>IF($A24="","",'Blind Count Entry'!D22)</f>
        <v/>
      </c>
      <c r="E24">
        <f>IF($A24="","",IFERROR(INDEX('ABC Analysis'!$F:$F,MATCH($C24,'ABC Analysis'!$A:$A,0)),""))</f>
        <v/>
      </c>
      <c r="F24">
        <f>IF($A24="","",IFERROR(INDEX('Master Inventory'!$E:$E,MATCH($C24,'Master Inventory'!$A:$A,0)),0))</f>
        <v/>
      </c>
      <c r="G24">
        <f>IF($A24="","",'Blind Count Entry'!F22)</f>
        <v/>
      </c>
      <c r="H24">
        <f>IF($A24="","",G24-F24)</f>
        <v/>
      </c>
      <c r="I24" s="17">
        <f>IF($A24="","",IF(F24=0,IF(H24=0,0,1),ABS(H24)/F24))</f>
        <v/>
      </c>
      <c r="J24" s="18">
        <f>IF($A24="","",IF($E24="A",$E$1,IF($E24="B",$G$1,$I$1)))</f>
        <v/>
      </c>
      <c r="K24">
        <f>IF($A24="","",IF(H24=0,"MATCH",IF(I24&gt;J24,"RECOUNT","WITHIN TOLERANCE")))</f>
        <v/>
      </c>
      <c r="L24" s="5" t="n"/>
      <c r="M24">
        <f>IF(OR($A24="",$L24=""),"",L24-F24)</f>
        <v/>
      </c>
      <c r="N24" s="5" t="n"/>
      <c r="O24" s="5" t="n"/>
    </row>
    <row r="25">
      <c r="A25">
        <f>IF('Blind Count Entry'!A23="","",'Blind Count Entry'!A23)</f>
        <v/>
      </c>
      <c r="B25" s="16">
        <f>IF($A25="","",'Blind Count Entry'!B23)</f>
        <v/>
      </c>
      <c r="C25">
        <f>IF($A25="","",'Blind Count Entry'!C23)</f>
        <v/>
      </c>
      <c r="D25">
        <f>IF($A25="","",'Blind Count Entry'!D23)</f>
        <v/>
      </c>
      <c r="E25">
        <f>IF($A25="","",IFERROR(INDEX('ABC Analysis'!$F:$F,MATCH($C25,'ABC Analysis'!$A:$A,0)),""))</f>
        <v/>
      </c>
      <c r="F25">
        <f>IF($A25="","",IFERROR(INDEX('Master Inventory'!$E:$E,MATCH($C25,'Master Inventory'!$A:$A,0)),0))</f>
        <v/>
      </c>
      <c r="G25">
        <f>IF($A25="","",'Blind Count Entry'!F23)</f>
        <v/>
      </c>
      <c r="H25">
        <f>IF($A25="","",G25-F25)</f>
        <v/>
      </c>
      <c r="I25" s="17">
        <f>IF($A25="","",IF(F25=0,IF(H25=0,0,1),ABS(H25)/F25))</f>
        <v/>
      </c>
      <c r="J25" s="18">
        <f>IF($A25="","",IF($E25="A",$E$1,IF($E25="B",$G$1,$I$1)))</f>
        <v/>
      </c>
      <c r="K25">
        <f>IF($A25="","",IF(H25=0,"MATCH",IF(I25&gt;J25,"RECOUNT","WITHIN TOLERANCE")))</f>
        <v/>
      </c>
      <c r="L25" s="5" t="n"/>
      <c r="M25">
        <f>IF(OR($A25="",$L25=""),"",L25-F25)</f>
        <v/>
      </c>
      <c r="N25" s="5" t="n"/>
      <c r="O25" s="5" t="n"/>
    </row>
    <row r="26">
      <c r="A26">
        <f>IF('Blind Count Entry'!A24="","",'Blind Count Entry'!A24)</f>
        <v/>
      </c>
      <c r="B26" s="16">
        <f>IF($A26="","",'Blind Count Entry'!B24)</f>
        <v/>
      </c>
      <c r="C26">
        <f>IF($A26="","",'Blind Count Entry'!C24)</f>
        <v/>
      </c>
      <c r="D26">
        <f>IF($A26="","",'Blind Count Entry'!D24)</f>
        <v/>
      </c>
      <c r="E26">
        <f>IF($A26="","",IFERROR(INDEX('ABC Analysis'!$F:$F,MATCH($C26,'ABC Analysis'!$A:$A,0)),""))</f>
        <v/>
      </c>
      <c r="F26">
        <f>IF($A26="","",IFERROR(INDEX('Master Inventory'!$E:$E,MATCH($C26,'Master Inventory'!$A:$A,0)),0))</f>
        <v/>
      </c>
      <c r="G26">
        <f>IF($A26="","",'Blind Count Entry'!F24)</f>
        <v/>
      </c>
      <c r="H26">
        <f>IF($A26="","",G26-F26)</f>
        <v/>
      </c>
      <c r="I26" s="17">
        <f>IF($A26="","",IF(F26=0,IF(H26=0,0,1),ABS(H26)/F26))</f>
        <v/>
      </c>
      <c r="J26" s="18">
        <f>IF($A26="","",IF($E26="A",$E$1,IF($E26="B",$G$1,$I$1)))</f>
        <v/>
      </c>
      <c r="K26">
        <f>IF($A26="","",IF(H26=0,"MATCH",IF(I26&gt;J26,"RECOUNT","WITHIN TOLERANCE")))</f>
        <v/>
      </c>
      <c r="L26" s="5" t="n"/>
      <c r="M26">
        <f>IF(OR($A26="",$L26=""),"",L26-F26)</f>
        <v/>
      </c>
      <c r="N26" s="5" t="n"/>
      <c r="O26" s="5" t="n"/>
    </row>
    <row r="27">
      <c r="A27">
        <f>IF('Blind Count Entry'!A25="","",'Blind Count Entry'!A25)</f>
        <v/>
      </c>
      <c r="B27" s="16">
        <f>IF($A27="","",'Blind Count Entry'!B25)</f>
        <v/>
      </c>
      <c r="C27">
        <f>IF($A27="","",'Blind Count Entry'!C25)</f>
        <v/>
      </c>
      <c r="D27">
        <f>IF($A27="","",'Blind Count Entry'!D25)</f>
        <v/>
      </c>
      <c r="E27">
        <f>IF($A27="","",IFERROR(INDEX('ABC Analysis'!$F:$F,MATCH($C27,'ABC Analysis'!$A:$A,0)),""))</f>
        <v/>
      </c>
      <c r="F27">
        <f>IF($A27="","",IFERROR(INDEX('Master Inventory'!$E:$E,MATCH($C27,'Master Inventory'!$A:$A,0)),0))</f>
        <v/>
      </c>
      <c r="G27">
        <f>IF($A27="","",'Blind Count Entry'!F25)</f>
        <v/>
      </c>
      <c r="H27">
        <f>IF($A27="","",G27-F27)</f>
        <v/>
      </c>
      <c r="I27" s="17">
        <f>IF($A27="","",IF(F27=0,IF(H27=0,0,1),ABS(H27)/F27))</f>
        <v/>
      </c>
      <c r="J27" s="18">
        <f>IF($A27="","",IF($E27="A",$E$1,IF($E27="B",$G$1,$I$1)))</f>
        <v/>
      </c>
      <c r="K27">
        <f>IF($A27="","",IF(H27=0,"MATCH",IF(I27&gt;J27,"RECOUNT","WITHIN TOLERANCE")))</f>
        <v/>
      </c>
      <c r="L27" s="5" t="n"/>
      <c r="M27">
        <f>IF(OR($A27="",$L27=""),"",L27-F27)</f>
        <v/>
      </c>
      <c r="N27" s="5" t="n"/>
      <c r="O27" s="5" t="n"/>
    </row>
    <row r="28">
      <c r="A28">
        <f>IF('Blind Count Entry'!A26="","",'Blind Count Entry'!A26)</f>
        <v/>
      </c>
      <c r="B28" s="16">
        <f>IF($A28="","",'Blind Count Entry'!B26)</f>
        <v/>
      </c>
      <c r="C28">
        <f>IF($A28="","",'Blind Count Entry'!C26)</f>
        <v/>
      </c>
      <c r="D28">
        <f>IF($A28="","",'Blind Count Entry'!D26)</f>
        <v/>
      </c>
      <c r="E28">
        <f>IF($A28="","",IFERROR(INDEX('ABC Analysis'!$F:$F,MATCH($C28,'ABC Analysis'!$A:$A,0)),""))</f>
        <v/>
      </c>
      <c r="F28">
        <f>IF($A28="","",IFERROR(INDEX('Master Inventory'!$E:$E,MATCH($C28,'Master Inventory'!$A:$A,0)),0))</f>
        <v/>
      </c>
      <c r="G28">
        <f>IF($A28="","",'Blind Count Entry'!F26)</f>
        <v/>
      </c>
      <c r="H28">
        <f>IF($A28="","",G28-F28)</f>
        <v/>
      </c>
      <c r="I28" s="17">
        <f>IF($A28="","",IF(F28=0,IF(H28=0,0,1),ABS(H28)/F28))</f>
        <v/>
      </c>
      <c r="J28" s="18">
        <f>IF($A28="","",IF($E28="A",$E$1,IF($E28="B",$G$1,$I$1)))</f>
        <v/>
      </c>
      <c r="K28">
        <f>IF($A28="","",IF(H28=0,"MATCH",IF(I28&gt;J28,"RECOUNT","WITHIN TOLERANCE")))</f>
        <v/>
      </c>
      <c r="L28" s="5" t="n"/>
      <c r="M28">
        <f>IF(OR($A28="",$L28=""),"",L28-F28)</f>
        <v/>
      </c>
      <c r="N28" s="5" t="n"/>
      <c r="O28" s="5" t="n"/>
    </row>
    <row r="29">
      <c r="A29">
        <f>IF('Blind Count Entry'!A27="","",'Blind Count Entry'!A27)</f>
        <v/>
      </c>
      <c r="B29" s="16">
        <f>IF($A29="","",'Blind Count Entry'!B27)</f>
        <v/>
      </c>
      <c r="C29">
        <f>IF($A29="","",'Blind Count Entry'!C27)</f>
        <v/>
      </c>
      <c r="D29">
        <f>IF($A29="","",'Blind Count Entry'!D27)</f>
        <v/>
      </c>
      <c r="E29">
        <f>IF($A29="","",IFERROR(INDEX('ABC Analysis'!$F:$F,MATCH($C29,'ABC Analysis'!$A:$A,0)),""))</f>
        <v/>
      </c>
      <c r="F29">
        <f>IF($A29="","",IFERROR(INDEX('Master Inventory'!$E:$E,MATCH($C29,'Master Inventory'!$A:$A,0)),0))</f>
        <v/>
      </c>
      <c r="G29">
        <f>IF($A29="","",'Blind Count Entry'!F27)</f>
        <v/>
      </c>
      <c r="H29">
        <f>IF($A29="","",G29-F29)</f>
        <v/>
      </c>
      <c r="I29" s="17">
        <f>IF($A29="","",IF(F29=0,IF(H29=0,0,1),ABS(H29)/F29))</f>
        <v/>
      </c>
      <c r="J29" s="18">
        <f>IF($A29="","",IF($E29="A",$E$1,IF($E29="B",$G$1,$I$1)))</f>
        <v/>
      </c>
      <c r="K29">
        <f>IF($A29="","",IF(H29=0,"MATCH",IF(I29&gt;J29,"RECOUNT","WITHIN TOLERANCE")))</f>
        <v/>
      </c>
      <c r="L29" s="5" t="n"/>
      <c r="M29">
        <f>IF(OR($A29="",$L29=""),"",L29-F29)</f>
        <v/>
      </c>
      <c r="N29" s="5" t="n"/>
      <c r="O29" s="5" t="n"/>
    </row>
    <row r="30">
      <c r="A30">
        <f>IF('Blind Count Entry'!A28="","",'Blind Count Entry'!A28)</f>
        <v/>
      </c>
      <c r="B30" s="16">
        <f>IF($A30="","",'Blind Count Entry'!B28)</f>
        <v/>
      </c>
      <c r="C30">
        <f>IF($A30="","",'Blind Count Entry'!C28)</f>
        <v/>
      </c>
      <c r="D30">
        <f>IF($A30="","",'Blind Count Entry'!D28)</f>
        <v/>
      </c>
      <c r="E30">
        <f>IF($A30="","",IFERROR(INDEX('ABC Analysis'!$F:$F,MATCH($C30,'ABC Analysis'!$A:$A,0)),""))</f>
        <v/>
      </c>
      <c r="F30">
        <f>IF($A30="","",IFERROR(INDEX('Master Inventory'!$E:$E,MATCH($C30,'Master Inventory'!$A:$A,0)),0))</f>
        <v/>
      </c>
      <c r="G30">
        <f>IF($A30="","",'Blind Count Entry'!F28)</f>
        <v/>
      </c>
      <c r="H30">
        <f>IF($A30="","",G30-F30)</f>
        <v/>
      </c>
      <c r="I30" s="17">
        <f>IF($A30="","",IF(F30=0,IF(H30=0,0,1),ABS(H30)/F30))</f>
        <v/>
      </c>
      <c r="J30" s="18">
        <f>IF($A30="","",IF($E30="A",$E$1,IF($E30="B",$G$1,$I$1)))</f>
        <v/>
      </c>
      <c r="K30">
        <f>IF($A30="","",IF(H30=0,"MATCH",IF(I30&gt;J30,"RECOUNT","WITHIN TOLERANCE")))</f>
        <v/>
      </c>
      <c r="L30" s="5" t="n"/>
      <c r="M30">
        <f>IF(OR($A30="",$L30=""),"",L30-F30)</f>
        <v/>
      </c>
      <c r="N30" s="5" t="n"/>
      <c r="O30" s="5" t="n"/>
    </row>
    <row r="31">
      <c r="A31">
        <f>IF('Blind Count Entry'!A29="","",'Blind Count Entry'!A29)</f>
        <v/>
      </c>
      <c r="B31" s="16">
        <f>IF($A31="","",'Blind Count Entry'!B29)</f>
        <v/>
      </c>
      <c r="C31">
        <f>IF($A31="","",'Blind Count Entry'!C29)</f>
        <v/>
      </c>
      <c r="D31">
        <f>IF($A31="","",'Blind Count Entry'!D29)</f>
        <v/>
      </c>
      <c r="E31">
        <f>IF($A31="","",IFERROR(INDEX('ABC Analysis'!$F:$F,MATCH($C31,'ABC Analysis'!$A:$A,0)),""))</f>
        <v/>
      </c>
      <c r="F31">
        <f>IF($A31="","",IFERROR(INDEX('Master Inventory'!$E:$E,MATCH($C31,'Master Inventory'!$A:$A,0)),0))</f>
        <v/>
      </c>
      <c r="G31">
        <f>IF($A31="","",'Blind Count Entry'!F29)</f>
        <v/>
      </c>
      <c r="H31">
        <f>IF($A31="","",G31-F31)</f>
        <v/>
      </c>
      <c r="I31" s="17">
        <f>IF($A31="","",IF(F31=0,IF(H31=0,0,1),ABS(H31)/F31))</f>
        <v/>
      </c>
      <c r="J31" s="18">
        <f>IF($A31="","",IF($E31="A",$E$1,IF($E31="B",$G$1,$I$1)))</f>
        <v/>
      </c>
      <c r="K31">
        <f>IF($A31="","",IF(H31=0,"MATCH",IF(I31&gt;J31,"RECOUNT","WITHIN TOLERANCE")))</f>
        <v/>
      </c>
      <c r="L31" s="5" t="n"/>
      <c r="M31">
        <f>IF(OR($A31="",$L31=""),"",L31-F31)</f>
        <v/>
      </c>
      <c r="N31" s="5" t="n"/>
      <c r="O31" s="5" t="n"/>
    </row>
    <row r="32">
      <c r="A32">
        <f>IF('Blind Count Entry'!A30="","",'Blind Count Entry'!A30)</f>
        <v/>
      </c>
      <c r="B32" s="16">
        <f>IF($A32="","",'Blind Count Entry'!B30)</f>
        <v/>
      </c>
      <c r="C32">
        <f>IF($A32="","",'Blind Count Entry'!C30)</f>
        <v/>
      </c>
      <c r="D32">
        <f>IF($A32="","",'Blind Count Entry'!D30)</f>
        <v/>
      </c>
      <c r="E32">
        <f>IF($A32="","",IFERROR(INDEX('ABC Analysis'!$F:$F,MATCH($C32,'ABC Analysis'!$A:$A,0)),""))</f>
        <v/>
      </c>
      <c r="F32">
        <f>IF($A32="","",IFERROR(INDEX('Master Inventory'!$E:$E,MATCH($C32,'Master Inventory'!$A:$A,0)),0))</f>
        <v/>
      </c>
      <c r="G32">
        <f>IF($A32="","",'Blind Count Entry'!F30)</f>
        <v/>
      </c>
      <c r="H32">
        <f>IF($A32="","",G32-F32)</f>
        <v/>
      </c>
      <c r="I32" s="17">
        <f>IF($A32="","",IF(F32=0,IF(H32=0,0,1),ABS(H32)/F32))</f>
        <v/>
      </c>
      <c r="J32" s="18">
        <f>IF($A32="","",IF($E32="A",$E$1,IF($E32="B",$G$1,$I$1)))</f>
        <v/>
      </c>
      <c r="K32">
        <f>IF($A32="","",IF(H32=0,"MATCH",IF(I32&gt;J32,"RECOUNT","WITHIN TOLERANCE")))</f>
        <v/>
      </c>
      <c r="L32" s="5" t="n"/>
      <c r="M32">
        <f>IF(OR($A32="",$L32=""),"",L32-F32)</f>
        <v/>
      </c>
      <c r="N32" s="5" t="n"/>
      <c r="O32" s="5" t="n"/>
    </row>
    <row r="33">
      <c r="A33">
        <f>IF('Blind Count Entry'!A31="","",'Blind Count Entry'!A31)</f>
        <v/>
      </c>
      <c r="B33" s="16">
        <f>IF($A33="","",'Blind Count Entry'!B31)</f>
        <v/>
      </c>
      <c r="C33">
        <f>IF($A33="","",'Blind Count Entry'!C31)</f>
        <v/>
      </c>
      <c r="D33">
        <f>IF($A33="","",'Blind Count Entry'!D31)</f>
        <v/>
      </c>
      <c r="E33">
        <f>IF($A33="","",IFERROR(INDEX('ABC Analysis'!$F:$F,MATCH($C33,'ABC Analysis'!$A:$A,0)),""))</f>
        <v/>
      </c>
      <c r="F33">
        <f>IF($A33="","",IFERROR(INDEX('Master Inventory'!$E:$E,MATCH($C33,'Master Inventory'!$A:$A,0)),0))</f>
        <v/>
      </c>
      <c r="G33">
        <f>IF($A33="","",'Blind Count Entry'!F31)</f>
        <v/>
      </c>
      <c r="H33">
        <f>IF($A33="","",G33-F33)</f>
        <v/>
      </c>
      <c r="I33" s="17">
        <f>IF($A33="","",IF(F33=0,IF(H33=0,0,1),ABS(H33)/F33))</f>
        <v/>
      </c>
      <c r="J33" s="18">
        <f>IF($A33="","",IF($E33="A",$E$1,IF($E33="B",$G$1,$I$1)))</f>
        <v/>
      </c>
      <c r="K33">
        <f>IF($A33="","",IF(H33=0,"MATCH",IF(I33&gt;J33,"RECOUNT","WITHIN TOLERANCE")))</f>
        <v/>
      </c>
      <c r="L33" s="5" t="n"/>
      <c r="M33">
        <f>IF(OR($A33="",$L33=""),"",L33-F33)</f>
        <v/>
      </c>
      <c r="N33" s="5" t="n"/>
      <c r="O33" s="5" t="n"/>
    </row>
    <row r="34">
      <c r="A34">
        <f>IF('Blind Count Entry'!A32="","",'Blind Count Entry'!A32)</f>
        <v/>
      </c>
      <c r="B34" s="16">
        <f>IF($A34="","",'Blind Count Entry'!B32)</f>
        <v/>
      </c>
      <c r="C34">
        <f>IF($A34="","",'Blind Count Entry'!C32)</f>
        <v/>
      </c>
      <c r="D34">
        <f>IF($A34="","",'Blind Count Entry'!D32)</f>
        <v/>
      </c>
      <c r="E34">
        <f>IF($A34="","",IFERROR(INDEX('ABC Analysis'!$F:$F,MATCH($C34,'ABC Analysis'!$A:$A,0)),""))</f>
        <v/>
      </c>
      <c r="F34">
        <f>IF($A34="","",IFERROR(INDEX('Master Inventory'!$E:$E,MATCH($C34,'Master Inventory'!$A:$A,0)),0))</f>
        <v/>
      </c>
      <c r="G34">
        <f>IF($A34="","",'Blind Count Entry'!F32)</f>
        <v/>
      </c>
      <c r="H34">
        <f>IF($A34="","",G34-F34)</f>
        <v/>
      </c>
      <c r="I34" s="17">
        <f>IF($A34="","",IF(F34=0,IF(H34=0,0,1),ABS(H34)/F34))</f>
        <v/>
      </c>
      <c r="J34" s="18">
        <f>IF($A34="","",IF($E34="A",$E$1,IF($E34="B",$G$1,$I$1)))</f>
        <v/>
      </c>
      <c r="K34">
        <f>IF($A34="","",IF(H34=0,"MATCH",IF(I34&gt;J34,"RECOUNT","WITHIN TOLERANCE")))</f>
        <v/>
      </c>
      <c r="L34" s="5" t="n"/>
      <c r="M34">
        <f>IF(OR($A34="",$L34=""),"",L34-F34)</f>
        <v/>
      </c>
      <c r="N34" s="5" t="n"/>
      <c r="O34" s="5" t="n"/>
    </row>
    <row r="35">
      <c r="A35">
        <f>IF('Blind Count Entry'!A33="","",'Blind Count Entry'!A33)</f>
        <v/>
      </c>
      <c r="B35" s="16">
        <f>IF($A35="","",'Blind Count Entry'!B33)</f>
        <v/>
      </c>
      <c r="C35">
        <f>IF($A35="","",'Blind Count Entry'!C33)</f>
        <v/>
      </c>
      <c r="D35">
        <f>IF($A35="","",'Blind Count Entry'!D33)</f>
        <v/>
      </c>
      <c r="E35">
        <f>IF($A35="","",IFERROR(INDEX('ABC Analysis'!$F:$F,MATCH($C35,'ABC Analysis'!$A:$A,0)),""))</f>
        <v/>
      </c>
      <c r="F35">
        <f>IF($A35="","",IFERROR(INDEX('Master Inventory'!$E:$E,MATCH($C35,'Master Inventory'!$A:$A,0)),0))</f>
        <v/>
      </c>
      <c r="G35">
        <f>IF($A35="","",'Blind Count Entry'!F33)</f>
        <v/>
      </c>
      <c r="H35">
        <f>IF($A35="","",G35-F35)</f>
        <v/>
      </c>
      <c r="I35" s="17">
        <f>IF($A35="","",IF(F35=0,IF(H35=0,0,1),ABS(H35)/F35))</f>
        <v/>
      </c>
      <c r="J35" s="18">
        <f>IF($A35="","",IF($E35="A",$E$1,IF($E35="B",$G$1,$I$1)))</f>
        <v/>
      </c>
      <c r="K35">
        <f>IF($A35="","",IF(H35=0,"MATCH",IF(I35&gt;J35,"RECOUNT","WITHIN TOLERANCE")))</f>
        <v/>
      </c>
      <c r="L35" s="5" t="n"/>
      <c r="M35">
        <f>IF(OR($A35="",$L35=""),"",L35-F35)</f>
        <v/>
      </c>
      <c r="N35" s="5" t="n"/>
      <c r="O35" s="5" t="n"/>
    </row>
    <row r="36">
      <c r="A36">
        <f>IF('Blind Count Entry'!A34="","",'Blind Count Entry'!A34)</f>
        <v/>
      </c>
      <c r="B36" s="16">
        <f>IF($A36="","",'Blind Count Entry'!B34)</f>
        <v/>
      </c>
      <c r="C36">
        <f>IF($A36="","",'Blind Count Entry'!C34)</f>
        <v/>
      </c>
      <c r="D36">
        <f>IF($A36="","",'Blind Count Entry'!D34)</f>
        <v/>
      </c>
      <c r="E36">
        <f>IF($A36="","",IFERROR(INDEX('ABC Analysis'!$F:$F,MATCH($C36,'ABC Analysis'!$A:$A,0)),""))</f>
        <v/>
      </c>
      <c r="F36">
        <f>IF($A36="","",IFERROR(INDEX('Master Inventory'!$E:$E,MATCH($C36,'Master Inventory'!$A:$A,0)),0))</f>
        <v/>
      </c>
      <c r="G36">
        <f>IF($A36="","",'Blind Count Entry'!F34)</f>
        <v/>
      </c>
      <c r="H36">
        <f>IF($A36="","",G36-F36)</f>
        <v/>
      </c>
      <c r="I36" s="17">
        <f>IF($A36="","",IF(F36=0,IF(H36=0,0,1),ABS(H36)/F36))</f>
        <v/>
      </c>
      <c r="J36" s="18">
        <f>IF($A36="","",IF($E36="A",$E$1,IF($E36="B",$G$1,$I$1)))</f>
        <v/>
      </c>
      <c r="K36">
        <f>IF($A36="","",IF(H36=0,"MATCH",IF(I36&gt;J36,"RECOUNT","WITHIN TOLERANCE")))</f>
        <v/>
      </c>
      <c r="L36" s="5" t="n"/>
      <c r="M36">
        <f>IF(OR($A36="",$L36=""),"",L36-F36)</f>
        <v/>
      </c>
      <c r="N36" s="5" t="n"/>
      <c r="O36" s="5" t="n"/>
    </row>
    <row r="37">
      <c r="A37">
        <f>IF('Blind Count Entry'!A35="","",'Blind Count Entry'!A35)</f>
        <v/>
      </c>
      <c r="B37" s="16">
        <f>IF($A37="","",'Blind Count Entry'!B35)</f>
        <v/>
      </c>
      <c r="C37">
        <f>IF($A37="","",'Blind Count Entry'!C35)</f>
        <v/>
      </c>
      <c r="D37">
        <f>IF($A37="","",'Blind Count Entry'!D35)</f>
        <v/>
      </c>
      <c r="E37">
        <f>IF($A37="","",IFERROR(INDEX('ABC Analysis'!$F:$F,MATCH($C37,'ABC Analysis'!$A:$A,0)),""))</f>
        <v/>
      </c>
      <c r="F37">
        <f>IF($A37="","",IFERROR(INDEX('Master Inventory'!$E:$E,MATCH($C37,'Master Inventory'!$A:$A,0)),0))</f>
        <v/>
      </c>
      <c r="G37">
        <f>IF($A37="","",'Blind Count Entry'!F35)</f>
        <v/>
      </c>
      <c r="H37">
        <f>IF($A37="","",G37-F37)</f>
        <v/>
      </c>
      <c r="I37" s="17">
        <f>IF($A37="","",IF(F37=0,IF(H37=0,0,1),ABS(H37)/F37))</f>
        <v/>
      </c>
      <c r="J37" s="18">
        <f>IF($A37="","",IF($E37="A",$E$1,IF($E37="B",$G$1,$I$1)))</f>
        <v/>
      </c>
      <c r="K37">
        <f>IF($A37="","",IF(H37=0,"MATCH",IF(I37&gt;J37,"RECOUNT","WITHIN TOLERANCE")))</f>
        <v/>
      </c>
      <c r="L37" s="5" t="n"/>
      <c r="M37">
        <f>IF(OR($A37="",$L37=""),"",L37-F37)</f>
        <v/>
      </c>
      <c r="N37" s="5" t="n"/>
      <c r="O37" s="5" t="n"/>
    </row>
    <row r="38">
      <c r="A38">
        <f>IF('Blind Count Entry'!A36="","",'Blind Count Entry'!A36)</f>
        <v/>
      </c>
      <c r="B38" s="16">
        <f>IF($A38="","",'Blind Count Entry'!B36)</f>
        <v/>
      </c>
      <c r="C38">
        <f>IF($A38="","",'Blind Count Entry'!C36)</f>
        <v/>
      </c>
      <c r="D38">
        <f>IF($A38="","",'Blind Count Entry'!D36)</f>
        <v/>
      </c>
      <c r="E38">
        <f>IF($A38="","",IFERROR(INDEX('ABC Analysis'!$F:$F,MATCH($C38,'ABC Analysis'!$A:$A,0)),""))</f>
        <v/>
      </c>
      <c r="F38">
        <f>IF($A38="","",IFERROR(INDEX('Master Inventory'!$E:$E,MATCH($C38,'Master Inventory'!$A:$A,0)),0))</f>
        <v/>
      </c>
      <c r="G38">
        <f>IF($A38="","",'Blind Count Entry'!F36)</f>
        <v/>
      </c>
      <c r="H38">
        <f>IF($A38="","",G38-F38)</f>
        <v/>
      </c>
      <c r="I38" s="17">
        <f>IF($A38="","",IF(F38=0,IF(H38=0,0,1),ABS(H38)/F38))</f>
        <v/>
      </c>
      <c r="J38" s="18">
        <f>IF($A38="","",IF($E38="A",$E$1,IF($E38="B",$G$1,$I$1)))</f>
        <v/>
      </c>
      <c r="K38">
        <f>IF($A38="","",IF(H38=0,"MATCH",IF(I38&gt;J38,"RECOUNT","WITHIN TOLERANCE")))</f>
        <v/>
      </c>
      <c r="L38" s="5" t="n"/>
      <c r="M38">
        <f>IF(OR($A38="",$L38=""),"",L38-F38)</f>
        <v/>
      </c>
      <c r="N38" s="5" t="n"/>
      <c r="O38" s="5" t="n"/>
    </row>
    <row r="39">
      <c r="A39">
        <f>IF('Blind Count Entry'!A37="","",'Blind Count Entry'!A37)</f>
        <v/>
      </c>
      <c r="B39" s="16">
        <f>IF($A39="","",'Blind Count Entry'!B37)</f>
        <v/>
      </c>
      <c r="C39">
        <f>IF($A39="","",'Blind Count Entry'!C37)</f>
        <v/>
      </c>
      <c r="D39">
        <f>IF($A39="","",'Blind Count Entry'!D37)</f>
        <v/>
      </c>
      <c r="E39">
        <f>IF($A39="","",IFERROR(INDEX('ABC Analysis'!$F:$F,MATCH($C39,'ABC Analysis'!$A:$A,0)),""))</f>
        <v/>
      </c>
      <c r="F39">
        <f>IF($A39="","",IFERROR(INDEX('Master Inventory'!$E:$E,MATCH($C39,'Master Inventory'!$A:$A,0)),0))</f>
        <v/>
      </c>
      <c r="G39">
        <f>IF($A39="","",'Blind Count Entry'!F37)</f>
        <v/>
      </c>
      <c r="H39">
        <f>IF($A39="","",G39-F39)</f>
        <v/>
      </c>
      <c r="I39" s="17">
        <f>IF($A39="","",IF(F39=0,IF(H39=0,0,1),ABS(H39)/F39))</f>
        <v/>
      </c>
      <c r="J39" s="18">
        <f>IF($A39="","",IF($E39="A",$E$1,IF($E39="B",$G$1,$I$1)))</f>
        <v/>
      </c>
      <c r="K39">
        <f>IF($A39="","",IF(H39=0,"MATCH",IF(I39&gt;J39,"RECOUNT","WITHIN TOLERANCE")))</f>
        <v/>
      </c>
      <c r="L39" s="5" t="n"/>
      <c r="M39">
        <f>IF(OR($A39="",$L39=""),"",L39-F39)</f>
        <v/>
      </c>
      <c r="N39" s="5" t="n"/>
      <c r="O39" s="5" t="n"/>
    </row>
    <row r="40">
      <c r="A40">
        <f>IF('Blind Count Entry'!A38="","",'Blind Count Entry'!A38)</f>
        <v/>
      </c>
      <c r="B40" s="16">
        <f>IF($A40="","",'Blind Count Entry'!B38)</f>
        <v/>
      </c>
      <c r="C40">
        <f>IF($A40="","",'Blind Count Entry'!C38)</f>
        <v/>
      </c>
      <c r="D40">
        <f>IF($A40="","",'Blind Count Entry'!D38)</f>
        <v/>
      </c>
      <c r="E40">
        <f>IF($A40="","",IFERROR(INDEX('ABC Analysis'!$F:$F,MATCH($C40,'ABC Analysis'!$A:$A,0)),""))</f>
        <v/>
      </c>
      <c r="F40">
        <f>IF($A40="","",IFERROR(INDEX('Master Inventory'!$E:$E,MATCH($C40,'Master Inventory'!$A:$A,0)),0))</f>
        <v/>
      </c>
      <c r="G40">
        <f>IF($A40="","",'Blind Count Entry'!F38)</f>
        <v/>
      </c>
      <c r="H40">
        <f>IF($A40="","",G40-F40)</f>
        <v/>
      </c>
      <c r="I40" s="17">
        <f>IF($A40="","",IF(F40=0,IF(H40=0,0,1),ABS(H40)/F40))</f>
        <v/>
      </c>
      <c r="J40" s="18">
        <f>IF($A40="","",IF($E40="A",$E$1,IF($E40="B",$G$1,$I$1)))</f>
        <v/>
      </c>
      <c r="K40">
        <f>IF($A40="","",IF(H40=0,"MATCH",IF(I40&gt;J40,"RECOUNT","WITHIN TOLERANCE")))</f>
        <v/>
      </c>
      <c r="L40" s="5" t="n"/>
      <c r="M40">
        <f>IF(OR($A40="",$L40=""),"",L40-F40)</f>
        <v/>
      </c>
      <c r="N40" s="5" t="n"/>
      <c r="O40" s="5" t="n"/>
    </row>
    <row r="41">
      <c r="A41">
        <f>IF('Blind Count Entry'!A39="","",'Blind Count Entry'!A39)</f>
        <v/>
      </c>
      <c r="B41" s="16">
        <f>IF($A41="","",'Blind Count Entry'!B39)</f>
        <v/>
      </c>
      <c r="C41">
        <f>IF($A41="","",'Blind Count Entry'!C39)</f>
        <v/>
      </c>
      <c r="D41">
        <f>IF($A41="","",'Blind Count Entry'!D39)</f>
        <v/>
      </c>
      <c r="E41">
        <f>IF($A41="","",IFERROR(INDEX('ABC Analysis'!$F:$F,MATCH($C41,'ABC Analysis'!$A:$A,0)),""))</f>
        <v/>
      </c>
      <c r="F41">
        <f>IF($A41="","",IFERROR(INDEX('Master Inventory'!$E:$E,MATCH($C41,'Master Inventory'!$A:$A,0)),0))</f>
        <v/>
      </c>
      <c r="G41">
        <f>IF($A41="","",'Blind Count Entry'!F39)</f>
        <v/>
      </c>
      <c r="H41">
        <f>IF($A41="","",G41-F41)</f>
        <v/>
      </c>
      <c r="I41" s="17">
        <f>IF($A41="","",IF(F41=0,IF(H41=0,0,1),ABS(H41)/F41))</f>
        <v/>
      </c>
      <c r="J41" s="18">
        <f>IF($A41="","",IF($E41="A",$E$1,IF($E41="B",$G$1,$I$1)))</f>
        <v/>
      </c>
      <c r="K41">
        <f>IF($A41="","",IF(H41=0,"MATCH",IF(I41&gt;J41,"RECOUNT","WITHIN TOLERANCE")))</f>
        <v/>
      </c>
      <c r="L41" s="5" t="n"/>
      <c r="M41">
        <f>IF(OR($A41="",$L41=""),"",L41-F41)</f>
        <v/>
      </c>
      <c r="N41" s="5" t="n"/>
      <c r="O41" s="5" t="n"/>
    </row>
    <row r="42">
      <c r="A42">
        <f>IF('Blind Count Entry'!A40="","",'Blind Count Entry'!A40)</f>
        <v/>
      </c>
      <c r="B42" s="16">
        <f>IF($A42="","",'Blind Count Entry'!B40)</f>
        <v/>
      </c>
      <c r="C42">
        <f>IF($A42="","",'Blind Count Entry'!C40)</f>
        <v/>
      </c>
      <c r="D42">
        <f>IF($A42="","",'Blind Count Entry'!D40)</f>
        <v/>
      </c>
      <c r="E42">
        <f>IF($A42="","",IFERROR(INDEX('ABC Analysis'!$F:$F,MATCH($C42,'ABC Analysis'!$A:$A,0)),""))</f>
        <v/>
      </c>
      <c r="F42">
        <f>IF($A42="","",IFERROR(INDEX('Master Inventory'!$E:$E,MATCH($C42,'Master Inventory'!$A:$A,0)),0))</f>
        <v/>
      </c>
      <c r="G42">
        <f>IF($A42="","",'Blind Count Entry'!F40)</f>
        <v/>
      </c>
      <c r="H42">
        <f>IF($A42="","",G42-F42)</f>
        <v/>
      </c>
      <c r="I42" s="17">
        <f>IF($A42="","",IF(F42=0,IF(H42=0,0,1),ABS(H42)/F42))</f>
        <v/>
      </c>
      <c r="J42" s="18">
        <f>IF($A42="","",IF($E42="A",$E$1,IF($E42="B",$G$1,$I$1)))</f>
        <v/>
      </c>
      <c r="K42">
        <f>IF($A42="","",IF(H42=0,"MATCH",IF(I42&gt;J42,"RECOUNT","WITHIN TOLERANCE")))</f>
        <v/>
      </c>
      <c r="L42" s="5" t="n"/>
      <c r="M42">
        <f>IF(OR($A42="",$L42=""),"",L42-F42)</f>
        <v/>
      </c>
      <c r="N42" s="5" t="n"/>
      <c r="O42" s="5" t="n"/>
    </row>
    <row r="43">
      <c r="A43">
        <f>IF('Blind Count Entry'!A41="","",'Blind Count Entry'!A41)</f>
        <v/>
      </c>
      <c r="B43" s="16">
        <f>IF($A43="","",'Blind Count Entry'!B41)</f>
        <v/>
      </c>
      <c r="C43">
        <f>IF($A43="","",'Blind Count Entry'!C41)</f>
        <v/>
      </c>
      <c r="D43">
        <f>IF($A43="","",'Blind Count Entry'!D41)</f>
        <v/>
      </c>
      <c r="E43">
        <f>IF($A43="","",IFERROR(INDEX('ABC Analysis'!$F:$F,MATCH($C43,'ABC Analysis'!$A:$A,0)),""))</f>
        <v/>
      </c>
      <c r="F43">
        <f>IF($A43="","",IFERROR(INDEX('Master Inventory'!$E:$E,MATCH($C43,'Master Inventory'!$A:$A,0)),0))</f>
        <v/>
      </c>
      <c r="G43">
        <f>IF($A43="","",'Blind Count Entry'!F41)</f>
        <v/>
      </c>
      <c r="H43">
        <f>IF($A43="","",G43-F43)</f>
        <v/>
      </c>
      <c r="I43" s="17">
        <f>IF($A43="","",IF(F43=0,IF(H43=0,0,1),ABS(H43)/F43))</f>
        <v/>
      </c>
      <c r="J43" s="18">
        <f>IF($A43="","",IF($E43="A",$E$1,IF($E43="B",$G$1,$I$1)))</f>
        <v/>
      </c>
      <c r="K43">
        <f>IF($A43="","",IF(H43=0,"MATCH",IF(I43&gt;J43,"RECOUNT","WITHIN TOLERANCE")))</f>
        <v/>
      </c>
      <c r="L43" s="5" t="n"/>
      <c r="M43">
        <f>IF(OR($A43="",$L43=""),"",L43-F43)</f>
        <v/>
      </c>
      <c r="N43" s="5" t="n"/>
      <c r="O43" s="5" t="n"/>
    </row>
    <row r="44">
      <c r="A44">
        <f>IF('Blind Count Entry'!A42="","",'Blind Count Entry'!A42)</f>
        <v/>
      </c>
      <c r="B44" s="16">
        <f>IF($A44="","",'Blind Count Entry'!B42)</f>
        <v/>
      </c>
      <c r="C44">
        <f>IF($A44="","",'Blind Count Entry'!C42)</f>
        <v/>
      </c>
      <c r="D44">
        <f>IF($A44="","",'Blind Count Entry'!D42)</f>
        <v/>
      </c>
      <c r="E44">
        <f>IF($A44="","",IFERROR(INDEX('ABC Analysis'!$F:$F,MATCH($C44,'ABC Analysis'!$A:$A,0)),""))</f>
        <v/>
      </c>
      <c r="F44">
        <f>IF($A44="","",IFERROR(INDEX('Master Inventory'!$E:$E,MATCH($C44,'Master Inventory'!$A:$A,0)),0))</f>
        <v/>
      </c>
      <c r="G44">
        <f>IF($A44="","",'Blind Count Entry'!F42)</f>
        <v/>
      </c>
      <c r="H44">
        <f>IF($A44="","",G44-F44)</f>
        <v/>
      </c>
      <c r="I44" s="17">
        <f>IF($A44="","",IF(F44=0,IF(H44=0,0,1),ABS(H44)/F44))</f>
        <v/>
      </c>
      <c r="J44" s="18">
        <f>IF($A44="","",IF($E44="A",$E$1,IF($E44="B",$G$1,$I$1)))</f>
        <v/>
      </c>
      <c r="K44">
        <f>IF($A44="","",IF(H44=0,"MATCH",IF(I44&gt;J44,"RECOUNT","WITHIN TOLERANCE")))</f>
        <v/>
      </c>
      <c r="L44" s="5" t="n"/>
      <c r="M44">
        <f>IF(OR($A44="",$L44=""),"",L44-F44)</f>
        <v/>
      </c>
      <c r="N44" s="5" t="n"/>
      <c r="O44" s="5" t="n"/>
    </row>
    <row r="45">
      <c r="A45">
        <f>IF('Blind Count Entry'!A43="","",'Blind Count Entry'!A43)</f>
        <v/>
      </c>
      <c r="B45" s="16">
        <f>IF($A45="","",'Blind Count Entry'!B43)</f>
        <v/>
      </c>
      <c r="C45">
        <f>IF($A45="","",'Blind Count Entry'!C43)</f>
        <v/>
      </c>
      <c r="D45">
        <f>IF($A45="","",'Blind Count Entry'!D43)</f>
        <v/>
      </c>
      <c r="E45">
        <f>IF($A45="","",IFERROR(INDEX('ABC Analysis'!$F:$F,MATCH($C45,'ABC Analysis'!$A:$A,0)),""))</f>
        <v/>
      </c>
      <c r="F45">
        <f>IF($A45="","",IFERROR(INDEX('Master Inventory'!$E:$E,MATCH($C45,'Master Inventory'!$A:$A,0)),0))</f>
        <v/>
      </c>
      <c r="G45">
        <f>IF($A45="","",'Blind Count Entry'!F43)</f>
        <v/>
      </c>
      <c r="H45">
        <f>IF($A45="","",G45-F45)</f>
        <v/>
      </c>
      <c r="I45" s="17">
        <f>IF($A45="","",IF(F45=0,IF(H45=0,0,1),ABS(H45)/F45))</f>
        <v/>
      </c>
      <c r="J45" s="18">
        <f>IF($A45="","",IF($E45="A",$E$1,IF($E45="B",$G$1,$I$1)))</f>
        <v/>
      </c>
      <c r="K45">
        <f>IF($A45="","",IF(H45=0,"MATCH",IF(I45&gt;J45,"RECOUNT","WITHIN TOLERANCE")))</f>
        <v/>
      </c>
      <c r="L45" s="5" t="n"/>
      <c r="M45">
        <f>IF(OR($A45="",$L45=""),"",L45-F45)</f>
        <v/>
      </c>
      <c r="N45" s="5" t="n"/>
      <c r="O45" s="5" t="n"/>
    </row>
    <row r="46">
      <c r="A46">
        <f>IF('Blind Count Entry'!A44="","",'Blind Count Entry'!A44)</f>
        <v/>
      </c>
      <c r="B46" s="16">
        <f>IF($A46="","",'Blind Count Entry'!B44)</f>
        <v/>
      </c>
      <c r="C46">
        <f>IF($A46="","",'Blind Count Entry'!C44)</f>
        <v/>
      </c>
      <c r="D46">
        <f>IF($A46="","",'Blind Count Entry'!D44)</f>
        <v/>
      </c>
      <c r="E46">
        <f>IF($A46="","",IFERROR(INDEX('ABC Analysis'!$F:$F,MATCH($C46,'ABC Analysis'!$A:$A,0)),""))</f>
        <v/>
      </c>
      <c r="F46">
        <f>IF($A46="","",IFERROR(INDEX('Master Inventory'!$E:$E,MATCH($C46,'Master Inventory'!$A:$A,0)),0))</f>
        <v/>
      </c>
      <c r="G46">
        <f>IF($A46="","",'Blind Count Entry'!F44)</f>
        <v/>
      </c>
      <c r="H46">
        <f>IF($A46="","",G46-F46)</f>
        <v/>
      </c>
      <c r="I46" s="17">
        <f>IF($A46="","",IF(F46=0,IF(H46=0,0,1),ABS(H46)/F46))</f>
        <v/>
      </c>
      <c r="J46" s="18">
        <f>IF($A46="","",IF($E46="A",$E$1,IF($E46="B",$G$1,$I$1)))</f>
        <v/>
      </c>
      <c r="K46">
        <f>IF($A46="","",IF(H46=0,"MATCH",IF(I46&gt;J46,"RECOUNT","WITHIN TOLERANCE")))</f>
        <v/>
      </c>
      <c r="L46" s="5" t="n"/>
      <c r="M46">
        <f>IF(OR($A46="",$L46=""),"",L46-F46)</f>
        <v/>
      </c>
      <c r="N46" s="5" t="n"/>
      <c r="O46" s="5" t="n"/>
    </row>
    <row r="47">
      <c r="A47">
        <f>IF('Blind Count Entry'!A45="","",'Blind Count Entry'!A45)</f>
        <v/>
      </c>
      <c r="B47" s="16">
        <f>IF($A47="","",'Blind Count Entry'!B45)</f>
        <v/>
      </c>
      <c r="C47">
        <f>IF($A47="","",'Blind Count Entry'!C45)</f>
        <v/>
      </c>
      <c r="D47">
        <f>IF($A47="","",'Blind Count Entry'!D45)</f>
        <v/>
      </c>
      <c r="E47">
        <f>IF($A47="","",IFERROR(INDEX('ABC Analysis'!$F:$F,MATCH($C47,'ABC Analysis'!$A:$A,0)),""))</f>
        <v/>
      </c>
      <c r="F47">
        <f>IF($A47="","",IFERROR(INDEX('Master Inventory'!$E:$E,MATCH($C47,'Master Inventory'!$A:$A,0)),0))</f>
        <v/>
      </c>
      <c r="G47">
        <f>IF($A47="","",'Blind Count Entry'!F45)</f>
        <v/>
      </c>
      <c r="H47">
        <f>IF($A47="","",G47-F47)</f>
        <v/>
      </c>
      <c r="I47" s="17">
        <f>IF($A47="","",IF(F47=0,IF(H47=0,0,1),ABS(H47)/F47))</f>
        <v/>
      </c>
      <c r="J47" s="18">
        <f>IF($A47="","",IF($E47="A",$E$1,IF($E47="B",$G$1,$I$1)))</f>
        <v/>
      </c>
      <c r="K47">
        <f>IF($A47="","",IF(H47=0,"MATCH",IF(I47&gt;J47,"RECOUNT","WITHIN TOLERANCE")))</f>
        <v/>
      </c>
      <c r="L47" s="5" t="n"/>
      <c r="M47">
        <f>IF(OR($A47="",$L47=""),"",L47-F47)</f>
        <v/>
      </c>
      <c r="N47" s="5" t="n"/>
      <c r="O47" s="5" t="n"/>
    </row>
    <row r="48">
      <c r="A48">
        <f>IF('Blind Count Entry'!A46="","",'Blind Count Entry'!A46)</f>
        <v/>
      </c>
      <c r="B48" s="16">
        <f>IF($A48="","",'Blind Count Entry'!B46)</f>
        <v/>
      </c>
      <c r="C48">
        <f>IF($A48="","",'Blind Count Entry'!C46)</f>
        <v/>
      </c>
      <c r="D48">
        <f>IF($A48="","",'Blind Count Entry'!D46)</f>
        <v/>
      </c>
      <c r="E48">
        <f>IF($A48="","",IFERROR(INDEX('ABC Analysis'!$F:$F,MATCH($C48,'ABC Analysis'!$A:$A,0)),""))</f>
        <v/>
      </c>
      <c r="F48">
        <f>IF($A48="","",IFERROR(INDEX('Master Inventory'!$E:$E,MATCH($C48,'Master Inventory'!$A:$A,0)),0))</f>
        <v/>
      </c>
      <c r="G48">
        <f>IF($A48="","",'Blind Count Entry'!F46)</f>
        <v/>
      </c>
      <c r="H48">
        <f>IF($A48="","",G48-F48)</f>
        <v/>
      </c>
      <c r="I48" s="17">
        <f>IF($A48="","",IF(F48=0,IF(H48=0,0,1),ABS(H48)/F48))</f>
        <v/>
      </c>
      <c r="J48" s="18">
        <f>IF($A48="","",IF($E48="A",$E$1,IF($E48="B",$G$1,$I$1)))</f>
        <v/>
      </c>
      <c r="K48">
        <f>IF($A48="","",IF(H48=0,"MATCH",IF(I48&gt;J48,"RECOUNT","WITHIN TOLERANCE")))</f>
        <v/>
      </c>
      <c r="L48" s="5" t="n"/>
      <c r="M48">
        <f>IF(OR($A48="",$L48=""),"",L48-F48)</f>
        <v/>
      </c>
      <c r="N48" s="5" t="n"/>
      <c r="O48" s="5" t="n"/>
    </row>
    <row r="49">
      <c r="A49">
        <f>IF('Blind Count Entry'!A47="","",'Blind Count Entry'!A47)</f>
        <v/>
      </c>
      <c r="B49" s="16">
        <f>IF($A49="","",'Blind Count Entry'!B47)</f>
        <v/>
      </c>
      <c r="C49">
        <f>IF($A49="","",'Blind Count Entry'!C47)</f>
        <v/>
      </c>
      <c r="D49">
        <f>IF($A49="","",'Blind Count Entry'!D47)</f>
        <v/>
      </c>
      <c r="E49">
        <f>IF($A49="","",IFERROR(INDEX('ABC Analysis'!$F:$F,MATCH($C49,'ABC Analysis'!$A:$A,0)),""))</f>
        <v/>
      </c>
      <c r="F49">
        <f>IF($A49="","",IFERROR(INDEX('Master Inventory'!$E:$E,MATCH($C49,'Master Inventory'!$A:$A,0)),0))</f>
        <v/>
      </c>
      <c r="G49">
        <f>IF($A49="","",'Blind Count Entry'!F47)</f>
        <v/>
      </c>
      <c r="H49">
        <f>IF($A49="","",G49-F49)</f>
        <v/>
      </c>
      <c r="I49" s="17">
        <f>IF($A49="","",IF(F49=0,IF(H49=0,0,1),ABS(H49)/F49))</f>
        <v/>
      </c>
      <c r="J49" s="18">
        <f>IF($A49="","",IF($E49="A",$E$1,IF($E49="B",$G$1,$I$1)))</f>
        <v/>
      </c>
      <c r="K49">
        <f>IF($A49="","",IF(H49=0,"MATCH",IF(I49&gt;J49,"RECOUNT","WITHIN TOLERANCE")))</f>
        <v/>
      </c>
      <c r="L49" s="5" t="n"/>
      <c r="M49">
        <f>IF(OR($A49="",$L49=""),"",L49-F49)</f>
        <v/>
      </c>
      <c r="N49" s="5" t="n"/>
      <c r="O49" s="5" t="n"/>
    </row>
    <row r="50">
      <c r="A50">
        <f>IF('Blind Count Entry'!A48="","",'Blind Count Entry'!A48)</f>
        <v/>
      </c>
      <c r="B50" s="16">
        <f>IF($A50="","",'Blind Count Entry'!B48)</f>
        <v/>
      </c>
      <c r="C50">
        <f>IF($A50="","",'Blind Count Entry'!C48)</f>
        <v/>
      </c>
      <c r="D50">
        <f>IF($A50="","",'Blind Count Entry'!D48)</f>
        <v/>
      </c>
      <c r="E50">
        <f>IF($A50="","",IFERROR(INDEX('ABC Analysis'!$F:$F,MATCH($C50,'ABC Analysis'!$A:$A,0)),""))</f>
        <v/>
      </c>
      <c r="F50">
        <f>IF($A50="","",IFERROR(INDEX('Master Inventory'!$E:$E,MATCH($C50,'Master Inventory'!$A:$A,0)),0))</f>
        <v/>
      </c>
      <c r="G50">
        <f>IF($A50="","",'Blind Count Entry'!F48)</f>
        <v/>
      </c>
      <c r="H50">
        <f>IF($A50="","",G50-F50)</f>
        <v/>
      </c>
      <c r="I50" s="17">
        <f>IF($A50="","",IF(F50=0,IF(H50=0,0,1),ABS(H50)/F50))</f>
        <v/>
      </c>
      <c r="J50" s="18">
        <f>IF($A50="","",IF($E50="A",$E$1,IF($E50="B",$G$1,$I$1)))</f>
        <v/>
      </c>
      <c r="K50">
        <f>IF($A50="","",IF(H50=0,"MATCH",IF(I50&gt;J50,"RECOUNT","WITHIN TOLERANCE")))</f>
        <v/>
      </c>
      <c r="L50" s="5" t="n"/>
      <c r="M50">
        <f>IF(OR($A50="",$L50=""),"",L50-F50)</f>
        <v/>
      </c>
      <c r="N50" s="5" t="n"/>
      <c r="O50" s="5" t="n"/>
    </row>
    <row r="51">
      <c r="A51">
        <f>IF('Blind Count Entry'!A49="","",'Blind Count Entry'!A49)</f>
        <v/>
      </c>
      <c r="B51" s="16">
        <f>IF($A51="","",'Blind Count Entry'!B49)</f>
        <v/>
      </c>
      <c r="C51">
        <f>IF($A51="","",'Blind Count Entry'!C49)</f>
        <v/>
      </c>
      <c r="D51">
        <f>IF($A51="","",'Blind Count Entry'!D49)</f>
        <v/>
      </c>
      <c r="E51">
        <f>IF($A51="","",IFERROR(INDEX('ABC Analysis'!$F:$F,MATCH($C51,'ABC Analysis'!$A:$A,0)),""))</f>
        <v/>
      </c>
      <c r="F51">
        <f>IF($A51="","",IFERROR(INDEX('Master Inventory'!$E:$E,MATCH($C51,'Master Inventory'!$A:$A,0)),0))</f>
        <v/>
      </c>
      <c r="G51">
        <f>IF($A51="","",'Blind Count Entry'!F49)</f>
        <v/>
      </c>
      <c r="H51">
        <f>IF($A51="","",G51-F51)</f>
        <v/>
      </c>
      <c r="I51" s="17">
        <f>IF($A51="","",IF(F51=0,IF(H51=0,0,1),ABS(H51)/F51))</f>
        <v/>
      </c>
      <c r="J51" s="18">
        <f>IF($A51="","",IF($E51="A",$E$1,IF($E51="B",$G$1,$I$1)))</f>
        <v/>
      </c>
      <c r="K51">
        <f>IF($A51="","",IF(H51=0,"MATCH",IF(I51&gt;J51,"RECOUNT","WITHIN TOLERANCE")))</f>
        <v/>
      </c>
      <c r="L51" s="5" t="n"/>
      <c r="M51">
        <f>IF(OR($A51="",$L51=""),"",L51-F51)</f>
        <v/>
      </c>
      <c r="N51" s="5" t="n"/>
      <c r="O51" s="5" t="n"/>
    </row>
    <row r="52">
      <c r="A52">
        <f>IF('Blind Count Entry'!A50="","",'Blind Count Entry'!A50)</f>
        <v/>
      </c>
      <c r="B52" s="16">
        <f>IF($A52="","",'Blind Count Entry'!B50)</f>
        <v/>
      </c>
      <c r="C52">
        <f>IF($A52="","",'Blind Count Entry'!C50)</f>
        <v/>
      </c>
      <c r="D52">
        <f>IF($A52="","",'Blind Count Entry'!D50)</f>
        <v/>
      </c>
      <c r="E52">
        <f>IF($A52="","",IFERROR(INDEX('ABC Analysis'!$F:$F,MATCH($C52,'ABC Analysis'!$A:$A,0)),""))</f>
        <v/>
      </c>
      <c r="F52">
        <f>IF($A52="","",IFERROR(INDEX('Master Inventory'!$E:$E,MATCH($C52,'Master Inventory'!$A:$A,0)),0))</f>
        <v/>
      </c>
      <c r="G52">
        <f>IF($A52="","",'Blind Count Entry'!F50)</f>
        <v/>
      </c>
      <c r="H52">
        <f>IF($A52="","",G52-F52)</f>
        <v/>
      </c>
      <c r="I52" s="17">
        <f>IF($A52="","",IF(F52=0,IF(H52=0,0,1),ABS(H52)/F52))</f>
        <v/>
      </c>
      <c r="J52" s="18">
        <f>IF($A52="","",IF($E52="A",$E$1,IF($E52="B",$G$1,$I$1)))</f>
        <v/>
      </c>
      <c r="K52">
        <f>IF($A52="","",IF(H52=0,"MATCH",IF(I52&gt;J52,"RECOUNT","WITHIN TOLERANCE")))</f>
        <v/>
      </c>
      <c r="L52" s="5" t="n"/>
      <c r="M52">
        <f>IF(OR($A52="",$L52=""),"",L52-F52)</f>
        <v/>
      </c>
      <c r="N52" s="5" t="n"/>
      <c r="O52" s="5" t="n"/>
    </row>
    <row r="53">
      <c r="A53">
        <f>IF('Blind Count Entry'!A51="","",'Blind Count Entry'!A51)</f>
        <v/>
      </c>
      <c r="B53" s="16">
        <f>IF($A53="","",'Blind Count Entry'!B51)</f>
        <v/>
      </c>
      <c r="C53">
        <f>IF($A53="","",'Blind Count Entry'!C51)</f>
        <v/>
      </c>
      <c r="D53">
        <f>IF($A53="","",'Blind Count Entry'!D51)</f>
        <v/>
      </c>
      <c r="E53">
        <f>IF($A53="","",IFERROR(INDEX('ABC Analysis'!$F:$F,MATCH($C53,'ABC Analysis'!$A:$A,0)),""))</f>
        <v/>
      </c>
      <c r="F53">
        <f>IF($A53="","",IFERROR(INDEX('Master Inventory'!$E:$E,MATCH($C53,'Master Inventory'!$A:$A,0)),0))</f>
        <v/>
      </c>
      <c r="G53">
        <f>IF($A53="","",'Blind Count Entry'!F51)</f>
        <v/>
      </c>
      <c r="H53">
        <f>IF($A53="","",G53-F53)</f>
        <v/>
      </c>
      <c r="I53" s="17">
        <f>IF($A53="","",IF(F53=0,IF(H53=0,0,1),ABS(H53)/F53))</f>
        <v/>
      </c>
      <c r="J53" s="18">
        <f>IF($A53="","",IF($E53="A",$E$1,IF($E53="B",$G$1,$I$1)))</f>
        <v/>
      </c>
      <c r="K53">
        <f>IF($A53="","",IF(H53=0,"MATCH",IF(I53&gt;J53,"RECOUNT","WITHIN TOLERANCE")))</f>
        <v/>
      </c>
      <c r="L53" s="5" t="n"/>
      <c r="M53">
        <f>IF(OR($A53="",$L53=""),"",L53-F53)</f>
        <v/>
      </c>
      <c r="N53" s="5" t="n"/>
      <c r="O53" s="5" t="n"/>
    </row>
    <row r="54">
      <c r="A54">
        <f>IF('Blind Count Entry'!A52="","",'Blind Count Entry'!A52)</f>
        <v/>
      </c>
      <c r="B54" s="16">
        <f>IF($A54="","",'Blind Count Entry'!B52)</f>
        <v/>
      </c>
      <c r="C54">
        <f>IF($A54="","",'Blind Count Entry'!C52)</f>
        <v/>
      </c>
      <c r="D54">
        <f>IF($A54="","",'Blind Count Entry'!D52)</f>
        <v/>
      </c>
      <c r="E54">
        <f>IF($A54="","",IFERROR(INDEX('ABC Analysis'!$F:$F,MATCH($C54,'ABC Analysis'!$A:$A,0)),""))</f>
        <v/>
      </c>
      <c r="F54">
        <f>IF($A54="","",IFERROR(INDEX('Master Inventory'!$E:$E,MATCH($C54,'Master Inventory'!$A:$A,0)),0))</f>
        <v/>
      </c>
      <c r="G54">
        <f>IF($A54="","",'Blind Count Entry'!F52)</f>
        <v/>
      </c>
      <c r="H54">
        <f>IF($A54="","",G54-F54)</f>
        <v/>
      </c>
      <c r="I54" s="17">
        <f>IF($A54="","",IF(F54=0,IF(H54=0,0,1),ABS(H54)/F54))</f>
        <v/>
      </c>
      <c r="J54" s="18">
        <f>IF($A54="","",IF($E54="A",$E$1,IF($E54="B",$G$1,$I$1)))</f>
        <v/>
      </c>
      <c r="K54">
        <f>IF($A54="","",IF(H54=0,"MATCH",IF(I54&gt;J54,"RECOUNT","WITHIN TOLERANCE")))</f>
        <v/>
      </c>
      <c r="L54" s="5" t="n"/>
      <c r="M54">
        <f>IF(OR($A54="",$L54=""),"",L54-F54)</f>
        <v/>
      </c>
      <c r="N54" s="5" t="n"/>
      <c r="O54" s="5" t="n"/>
    </row>
    <row r="55">
      <c r="A55">
        <f>IF('Blind Count Entry'!A53="","",'Blind Count Entry'!A53)</f>
        <v/>
      </c>
      <c r="B55" s="16">
        <f>IF($A55="","",'Blind Count Entry'!B53)</f>
        <v/>
      </c>
      <c r="C55">
        <f>IF($A55="","",'Blind Count Entry'!C53)</f>
        <v/>
      </c>
      <c r="D55">
        <f>IF($A55="","",'Blind Count Entry'!D53)</f>
        <v/>
      </c>
      <c r="E55">
        <f>IF($A55="","",IFERROR(INDEX('ABC Analysis'!$F:$F,MATCH($C55,'ABC Analysis'!$A:$A,0)),""))</f>
        <v/>
      </c>
      <c r="F55">
        <f>IF($A55="","",IFERROR(INDEX('Master Inventory'!$E:$E,MATCH($C55,'Master Inventory'!$A:$A,0)),0))</f>
        <v/>
      </c>
      <c r="G55">
        <f>IF($A55="","",'Blind Count Entry'!F53)</f>
        <v/>
      </c>
      <c r="H55">
        <f>IF($A55="","",G55-F55)</f>
        <v/>
      </c>
      <c r="I55" s="17">
        <f>IF($A55="","",IF(F55=0,IF(H55=0,0,1),ABS(H55)/F55))</f>
        <v/>
      </c>
      <c r="J55" s="18">
        <f>IF($A55="","",IF($E55="A",$E$1,IF($E55="B",$G$1,$I$1)))</f>
        <v/>
      </c>
      <c r="K55">
        <f>IF($A55="","",IF(H55=0,"MATCH",IF(I55&gt;J55,"RECOUNT","WITHIN TOLERANCE")))</f>
        <v/>
      </c>
      <c r="L55" s="5" t="n"/>
      <c r="M55">
        <f>IF(OR($A55="",$L55=""),"",L55-F55)</f>
        <v/>
      </c>
      <c r="N55" s="5" t="n"/>
      <c r="O55" s="5" t="n"/>
    </row>
    <row r="56">
      <c r="A56">
        <f>IF('Blind Count Entry'!A54="","",'Blind Count Entry'!A54)</f>
        <v/>
      </c>
      <c r="B56" s="16">
        <f>IF($A56="","",'Blind Count Entry'!B54)</f>
        <v/>
      </c>
      <c r="C56">
        <f>IF($A56="","",'Blind Count Entry'!C54)</f>
        <v/>
      </c>
      <c r="D56">
        <f>IF($A56="","",'Blind Count Entry'!D54)</f>
        <v/>
      </c>
      <c r="E56">
        <f>IF($A56="","",IFERROR(INDEX('ABC Analysis'!$F:$F,MATCH($C56,'ABC Analysis'!$A:$A,0)),""))</f>
        <v/>
      </c>
      <c r="F56">
        <f>IF($A56="","",IFERROR(INDEX('Master Inventory'!$E:$E,MATCH($C56,'Master Inventory'!$A:$A,0)),0))</f>
        <v/>
      </c>
      <c r="G56">
        <f>IF($A56="","",'Blind Count Entry'!F54)</f>
        <v/>
      </c>
      <c r="H56">
        <f>IF($A56="","",G56-F56)</f>
        <v/>
      </c>
      <c r="I56" s="17">
        <f>IF($A56="","",IF(F56=0,IF(H56=0,0,1),ABS(H56)/F56))</f>
        <v/>
      </c>
      <c r="J56" s="18">
        <f>IF($A56="","",IF($E56="A",$E$1,IF($E56="B",$G$1,$I$1)))</f>
        <v/>
      </c>
      <c r="K56">
        <f>IF($A56="","",IF(H56=0,"MATCH",IF(I56&gt;J56,"RECOUNT","WITHIN TOLERANCE")))</f>
        <v/>
      </c>
      <c r="L56" s="5" t="n"/>
      <c r="M56">
        <f>IF(OR($A56="",$L56=""),"",L56-F56)</f>
        <v/>
      </c>
      <c r="N56" s="5" t="n"/>
      <c r="O56" s="5" t="n"/>
    </row>
    <row r="57">
      <c r="A57">
        <f>IF('Blind Count Entry'!A55="","",'Blind Count Entry'!A55)</f>
        <v/>
      </c>
      <c r="B57" s="16">
        <f>IF($A57="","",'Blind Count Entry'!B55)</f>
        <v/>
      </c>
      <c r="C57">
        <f>IF($A57="","",'Blind Count Entry'!C55)</f>
        <v/>
      </c>
      <c r="D57">
        <f>IF($A57="","",'Blind Count Entry'!D55)</f>
        <v/>
      </c>
      <c r="E57">
        <f>IF($A57="","",IFERROR(INDEX('ABC Analysis'!$F:$F,MATCH($C57,'ABC Analysis'!$A:$A,0)),""))</f>
        <v/>
      </c>
      <c r="F57">
        <f>IF($A57="","",IFERROR(INDEX('Master Inventory'!$E:$E,MATCH($C57,'Master Inventory'!$A:$A,0)),0))</f>
        <v/>
      </c>
      <c r="G57">
        <f>IF($A57="","",'Blind Count Entry'!F55)</f>
        <v/>
      </c>
      <c r="H57">
        <f>IF($A57="","",G57-F57)</f>
        <v/>
      </c>
      <c r="I57" s="17">
        <f>IF($A57="","",IF(F57=0,IF(H57=0,0,1),ABS(H57)/F57))</f>
        <v/>
      </c>
      <c r="J57" s="18">
        <f>IF($A57="","",IF($E57="A",$E$1,IF($E57="B",$G$1,$I$1)))</f>
        <v/>
      </c>
      <c r="K57">
        <f>IF($A57="","",IF(H57=0,"MATCH",IF(I57&gt;J57,"RECOUNT","WITHIN TOLERANCE")))</f>
        <v/>
      </c>
      <c r="L57" s="5" t="n"/>
      <c r="M57">
        <f>IF(OR($A57="",$L57=""),"",L57-F57)</f>
        <v/>
      </c>
      <c r="N57" s="5" t="n"/>
      <c r="O57" s="5" t="n"/>
    </row>
    <row r="58">
      <c r="A58">
        <f>IF('Blind Count Entry'!A56="","",'Blind Count Entry'!A56)</f>
        <v/>
      </c>
      <c r="B58" s="16">
        <f>IF($A58="","",'Blind Count Entry'!B56)</f>
        <v/>
      </c>
      <c r="C58">
        <f>IF($A58="","",'Blind Count Entry'!C56)</f>
        <v/>
      </c>
      <c r="D58">
        <f>IF($A58="","",'Blind Count Entry'!D56)</f>
        <v/>
      </c>
      <c r="E58">
        <f>IF($A58="","",IFERROR(INDEX('ABC Analysis'!$F:$F,MATCH($C58,'ABC Analysis'!$A:$A,0)),""))</f>
        <v/>
      </c>
      <c r="F58">
        <f>IF($A58="","",IFERROR(INDEX('Master Inventory'!$E:$E,MATCH($C58,'Master Inventory'!$A:$A,0)),0))</f>
        <v/>
      </c>
      <c r="G58">
        <f>IF($A58="","",'Blind Count Entry'!F56)</f>
        <v/>
      </c>
      <c r="H58">
        <f>IF($A58="","",G58-F58)</f>
        <v/>
      </c>
      <c r="I58" s="17">
        <f>IF($A58="","",IF(F58=0,IF(H58=0,0,1),ABS(H58)/F58))</f>
        <v/>
      </c>
      <c r="J58" s="18">
        <f>IF($A58="","",IF($E58="A",$E$1,IF($E58="B",$G$1,$I$1)))</f>
        <v/>
      </c>
      <c r="K58">
        <f>IF($A58="","",IF(H58=0,"MATCH",IF(I58&gt;J58,"RECOUNT","WITHIN TOLERANCE")))</f>
        <v/>
      </c>
      <c r="L58" s="5" t="n"/>
      <c r="M58">
        <f>IF(OR($A58="",$L58=""),"",L58-F58)</f>
        <v/>
      </c>
      <c r="N58" s="5" t="n"/>
      <c r="O58" s="5" t="n"/>
    </row>
    <row r="59">
      <c r="A59">
        <f>IF('Blind Count Entry'!A57="","",'Blind Count Entry'!A57)</f>
        <v/>
      </c>
      <c r="B59" s="16">
        <f>IF($A59="","",'Blind Count Entry'!B57)</f>
        <v/>
      </c>
      <c r="C59">
        <f>IF($A59="","",'Blind Count Entry'!C57)</f>
        <v/>
      </c>
      <c r="D59">
        <f>IF($A59="","",'Blind Count Entry'!D57)</f>
        <v/>
      </c>
      <c r="E59">
        <f>IF($A59="","",IFERROR(INDEX('ABC Analysis'!$F:$F,MATCH($C59,'ABC Analysis'!$A:$A,0)),""))</f>
        <v/>
      </c>
      <c r="F59">
        <f>IF($A59="","",IFERROR(INDEX('Master Inventory'!$E:$E,MATCH($C59,'Master Inventory'!$A:$A,0)),0))</f>
        <v/>
      </c>
      <c r="G59">
        <f>IF($A59="","",'Blind Count Entry'!F57)</f>
        <v/>
      </c>
      <c r="H59">
        <f>IF($A59="","",G59-F59)</f>
        <v/>
      </c>
      <c r="I59" s="17">
        <f>IF($A59="","",IF(F59=0,IF(H59=0,0,1),ABS(H59)/F59))</f>
        <v/>
      </c>
      <c r="J59" s="18">
        <f>IF($A59="","",IF($E59="A",$E$1,IF($E59="B",$G$1,$I$1)))</f>
        <v/>
      </c>
      <c r="K59">
        <f>IF($A59="","",IF(H59=0,"MATCH",IF(I59&gt;J59,"RECOUNT","WITHIN TOLERANCE")))</f>
        <v/>
      </c>
      <c r="L59" s="5" t="n"/>
      <c r="M59">
        <f>IF(OR($A59="",$L59=""),"",L59-F59)</f>
        <v/>
      </c>
      <c r="N59" s="5" t="n"/>
      <c r="O59" s="5" t="n"/>
    </row>
    <row r="60">
      <c r="A60">
        <f>IF('Blind Count Entry'!A58="","",'Blind Count Entry'!A58)</f>
        <v/>
      </c>
      <c r="B60" s="16">
        <f>IF($A60="","",'Blind Count Entry'!B58)</f>
        <v/>
      </c>
      <c r="C60">
        <f>IF($A60="","",'Blind Count Entry'!C58)</f>
        <v/>
      </c>
      <c r="D60">
        <f>IF($A60="","",'Blind Count Entry'!D58)</f>
        <v/>
      </c>
      <c r="E60">
        <f>IF($A60="","",IFERROR(INDEX('ABC Analysis'!$F:$F,MATCH($C60,'ABC Analysis'!$A:$A,0)),""))</f>
        <v/>
      </c>
      <c r="F60">
        <f>IF($A60="","",IFERROR(INDEX('Master Inventory'!$E:$E,MATCH($C60,'Master Inventory'!$A:$A,0)),0))</f>
        <v/>
      </c>
      <c r="G60">
        <f>IF($A60="","",'Blind Count Entry'!F58)</f>
        <v/>
      </c>
      <c r="H60">
        <f>IF($A60="","",G60-F60)</f>
        <v/>
      </c>
      <c r="I60" s="17">
        <f>IF($A60="","",IF(F60=0,IF(H60=0,0,1),ABS(H60)/F60))</f>
        <v/>
      </c>
      <c r="J60" s="18">
        <f>IF($A60="","",IF($E60="A",$E$1,IF($E60="B",$G$1,$I$1)))</f>
        <v/>
      </c>
      <c r="K60">
        <f>IF($A60="","",IF(H60=0,"MATCH",IF(I60&gt;J60,"RECOUNT","WITHIN TOLERANCE")))</f>
        <v/>
      </c>
      <c r="L60" s="5" t="n"/>
      <c r="M60">
        <f>IF(OR($A60="",$L60=""),"",L60-F60)</f>
        <v/>
      </c>
      <c r="N60" s="5" t="n"/>
      <c r="O60" s="5" t="n"/>
    </row>
    <row r="61">
      <c r="A61">
        <f>IF('Blind Count Entry'!A59="","",'Blind Count Entry'!A59)</f>
        <v/>
      </c>
      <c r="B61" s="16">
        <f>IF($A61="","",'Blind Count Entry'!B59)</f>
        <v/>
      </c>
      <c r="C61">
        <f>IF($A61="","",'Blind Count Entry'!C59)</f>
        <v/>
      </c>
      <c r="D61">
        <f>IF($A61="","",'Blind Count Entry'!D59)</f>
        <v/>
      </c>
      <c r="E61">
        <f>IF($A61="","",IFERROR(INDEX('ABC Analysis'!$F:$F,MATCH($C61,'ABC Analysis'!$A:$A,0)),""))</f>
        <v/>
      </c>
      <c r="F61">
        <f>IF($A61="","",IFERROR(INDEX('Master Inventory'!$E:$E,MATCH($C61,'Master Inventory'!$A:$A,0)),0))</f>
        <v/>
      </c>
      <c r="G61">
        <f>IF($A61="","",'Blind Count Entry'!F59)</f>
        <v/>
      </c>
      <c r="H61">
        <f>IF($A61="","",G61-F61)</f>
        <v/>
      </c>
      <c r="I61" s="17">
        <f>IF($A61="","",IF(F61=0,IF(H61=0,0,1),ABS(H61)/F61))</f>
        <v/>
      </c>
      <c r="J61" s="18">
        <f>IF($A61="","",IF($E61="A",$E$1,IF($E61="B",$G$1,$I$1)))</f>
        <v/>
      </c>
      <c r="K61">
        <f>IF($A61="","",IF(H61=0,"MATCH",IF(I61&gt;J61,"RECOUNT","WITHIN TOLERANCE")))</f>
        <v/>
      </c>
      <c r="L61" s="5" t="n"/>
      <c r="M61">
        <f>IF(OR($A61="",$L61=""),"",L61-F61)</f>
        <v/>
      </c>
      <c r="N61" s="5" t="n"/>
      <c r="O61" s="5" t="n"/>
    </row>
    <row r="62">
      <c r="A62">
        <f>IF('Blind Count Entry'!A60="","",'Blind Count Entry'!A60)</f>
        <v/>
      </c>
      <c r="B62" s="16">
        <f>IF($A62="","",'Blind Count Entry'!B60)</f>
        <v/>
      </c>
      <c r="C62">
        <f>IF($A62="","",'Blind Count Entry'!C60)</f>
        <v/>
      </c>
      <c r="D62">
        <f>IF($A62="","",'Blind Count Entry'!D60)</f>
        <v/>
      </c>
      <c r="E62">
        <f>IF($A62="","",IFERROR(INDEX('ABC Analysis'!$F:$F,MATCH($C62,'ABC Analysis'!$A:$A,0)),""))</f>
        <v/>
      </c>
      <c r="F62">
        <f>IF($A62="","",IFERROR(INDEX('Master Inventory'!$E:$E,MATCH($C62,'Master Inventory'!$A:$A,0)),0))</f>
        <v/>
      </c>
      <c r="G62">
        <f>IF($A62="","",'Blind Count Entry'!F60)</f>
        <v/>
      </c>
      <c r="H62">
        <f>IF($A62="","",G62-F62)</f>
        <v/>
      </c>
      <c r="I62" s="17">
        <f>IF($A62="","",IF(F62=0,IF(H62=0,0,1),ABS(H62)/F62))</f>
        <v/>
      </c>
      <c r="J62" s="18">
        <f>IF($A62="","",IF($E62="A",$E$1,IF($E62="B",$G$1,$I$1)))</f>
        <v/>
      </c>
      <c r="K62">
        <f>IF($A62="","",IF(H62=0,"MATCH",IF(I62&gt;J62,"RECOUNT","WITHIN TOLERANCE")))</f>
        <v/>
      </c>
      <c r="L62" s="5" t="n"/>
      <c r="M62">
        <f>IF(OR($A62="",$L62=""),"",L62-F62)</f>
        <v/>
      </c>
      <c r="N62" s="5" t="n"/>
      <c r="O62" s="5" t="n"/>
    </row>
    <row r="63">
      <c r="A63">
        <f>IF('Blind Count Entry'!A61="","",'Blind Count Entry'!A61)</f>
        <v/>
      </c>
      <c r="B63" s="16">
        <f>IF($A63="","",'Blind Count Entry'!B61)</f>
        <v/>
      </c>
      <c r="C63">
        <f>IF($A63="","",'Blind Count Entry'!C61)</f>
        <v/>
      </c>
      <c r="D63">
        <f>IF($A63="","",'Blind Count Entry'!D61)</f>
        <v/>
      </c>
      <c r="E63">
        <f>IF($A63="","",IFERROR(INDEX('ABC Analysis'!$F:$F,MATCH($C63,'ABC Analysis'!$A:$A,0)),""))</f>
        <v/>
      </c>
      <c r="F63">
        <f>IF($A63="","",IFERROR(INDEX('Master Inventory'!$E:$E,MATCH($C63,'Master Inventory'!$A:$A,0)),0))</f>
        <v/>
      </c>
      <c r="G63">
        <f>IF($A63="","",'Blind Count Entry'!F61)</f>
        <v/>
      </c>
      <c r="H63">
        <f>IF($A63="","",G63-F63)</f>
        <v/>
      </c>
      <c r="I63" s="17">
        <f>IF($A63="","",IF(F63=0,IF(H63=0,0,1),ABS(H63)/F63))</f>
        <v/>
      </c>
      <c r="J63" s="18">
        <f>IF($A63="","",IF($E63="A",$E$1,IF($E63="B",$G$1,$I$1)))</f>
        <v/>
      </c>
      <c r="K63">
        <f>IF($A63="","",IF(H63=0,"MATCH",IF(I63&gt;J63,"RECOUNT","WITHIN TOLERANCE")))</f>
        <v/>
      </c>
      <c r="L63" s="5" t="n"/>
      <c r="M63">
        <f>IF(OR($A63="",$L63=""),"",L63-F63)</f>
        <v/>
      </c>
      <c r="N63" s="5" t="n"/>
      <c r="O63" s="5" t="n"/>
    </row>
    <row r="64">
      <c r="A64">
        <f>IF('Blind Count Entry'!A62="","",'Blind Count Entry'!A62)</f>
        <v/>
      </c>
      <c r="B64" s="16">
        <f>IF($A64="","",'Blind Count Entry'!B62)</f>
        <v/>
      </c>
      <c r="C64">
        <f>IF($A64="","",'Blind Count Entry'!C62)</f>
        <v/>
      </c>
      <c r="D64">
        <f>IF($A64="","",'Blind Count Entry'!D62)</f>
        <v/>
      </c>
      <c r="E64">
        <f>IF($A64="","",IFERROR(INDEX('ABC Analysis'!$F:$F,MATCH($C64,'ABC Analysis'!$A:$A,0)),""))</f>
        <v/>
      </c>
      <c r="F64">
        <f>IF($A64="","",IFERROR(INDEX('Master Inventory'!$E:$E,MATCH($C64,'Master Inventory'!$A:$A,0)),0))</f>
        <v/>
      </c>
      <c r="G64">
        <f>IF($A64="","",'Blind Count Entry'!F62)</f>
        <v/>
      </c>
      <c r="H64">
        <f>IF($A64="","",G64-F64)</f>
        <v/>
      </c>
      <c r="I64" s="17">
        <f>IF($A64="","",IF(F64=0,IF(H64=0,0,1),ABS(H64)/F64))</f>
        <v/>
      </c>
      <c r="J64" s="18">
        <f>IF($A64="","",IF($E64="A",$E$1,IF($E64="B",$G$1,$I$1)))</f>
        <v/>
      </c>
      <c r="K64">
        <f>IF($A64="","",IF(H64=0,"MATCH",IF(I64&gt;J64,"RECOUNT","WITHIN TOLERANCE")))</f>
        <v/>
      </c>
      <c r="L64" s="5" t="n"/>
      <c r="M64">
        <f>IF(OR($A64="",$L64=""),"",L64-F64)</f>
        <v/>
      </c>
      <c r="N64" s="5" t="n"/>
      <c r="O64" s="5" t="n"/>
    </row>
    <row r="65">
      <c r="A65">
        <f>IF('Blind Count Entry'!A63="","",'Blind Count Entry'!A63)</f>
        <v/>
      </c>
      <c r="B65" s="16">
        <f>IF($A65="","",'Blind Count Entry'!B63)</f>
        <v/>
      </c>
      <c r="C65">
        <f>IF($A65="","",'Blind Count Entry'!C63)</f>
        <v/>
      </c>
      <c r="D65">
        <f>IF($A65="","",'Blind Count Entry'!D63)</f>
        <v/>
      </c>
      <c r="E65">
        <f>IF($A65="","",IFERROR(INDEX('ABC Analysis'!$F:$F,MATCH($C65,'ABC Analysis'!$A:$A,0)),""))</f>
        <v/>
      </c>
      <c r="F65">
        <f>IF($A65="","",IFERROR(INDEX('Master Inventory'!$E:$E,MATCH($C65,'Master Inventory'!$A:$A,0)),0))</f>
        <v/>
      </c>
      <c r="G65">
        <f>IF($A65="","",'Blind Count Entry'!F63)</f>
        <v/>
      </c>
      <c r="H65">
        <f>IF($A65="","",G65-F65)</f>
        <v/>
      </c>
      <c r="I65" s="17">
        <f>IF($A65="","",IF(F65=0,IF(H65=0,0,1),ABS(H65)/F65))</f>
        <v/>
      </c>
      <c r="J65" s="18">
        <f>IF($A65="","",IF($E65="A",$E$1,IF($E65="B",$G$1,$I$1)))</f>
        <v/>
      </c>
      <c r="K65">
        <f>IF($A65="","",IF(H65=0,"MATCH",IF(I65&gt;J65,"RECOUNT","WITHIN TOLERANCE")))</f>
        <v/>
      </c>
      <c r="L65" s="5" t="n"/>
      <c r="M65">
        <f>IF(OR($A65="",$L65=""),"",L65-F65)</f>
        <v/>
      </c>
      <c r="N65" s="5" t="n"/>
      <c r="O65" s="5" t="n"/>
    </row>
    <row r="66">
      <c r="A66">
        <f>IF('Blind Count Entry'!A64="","",'Blind Count Entry'!A64)</f>
        <v/>
      </c>
      <c r="B66" s="16">
        <f>IF($A66="","",'Blind Count Entry'!B64)</f>
        <v/>
      </c>
      <c r="C66">
        <f>IF($A66="","",'Blind Count Entry'!C64)</f>
        <v/>
      </c>
      <c r="D66">
        <f>IF($A66="","",'Blind Count Entry'!D64)</f>
        <v/>
      </c>
      <c r="E66">
        <f>IF($A66="","",IFERROR(INDEX('ABC Analysis'!$F:$F,MATCH($C66,'ABC Analysis'!$A:$A,0)),""))</f>
        <v/>
      </c>
      <c r="F66">
        <f>IF($A66="","",IFERROR(INDEX('Master Inventory'!$E:$E,MATCH($C66,'Master Inventory'!$A:$A,0)),0))</f>
        <v/>
      </c>
      <c r="G66">
        <f>IF($A66="","",'Blind Count Entry'!F64)</f>
        <v/>
      </c>
      <c r="H66">
        <f>IF($A66="","",G66-F66)</f>
        <v/>
      </c>
      <c r="I66" s="17">
        <f>IF($A66="","",IF(F66=0,IF(H66=0,0,1),ABS(H66)/F66))</f>
        <v/>
      </c>
      <c r="J66" s="18">
        <f>IF($A66="","",IF($E66="A",$E$1,IF($E66="B",$G$1,$I$1)))</f>
        <v/>
      </c>
      <c r="K66">
        <f>IF($A66="","",IF(H66=0,"MATCH",IF(I66&gt;J66,"RECOUNT","WITHIN TOLERANCE")))</f>
        <v/>
      </c>
      <c r="L66" s="5" t="n"/>
      <c r="M66">
        <f>IF(OR($A66="",$L66=""),"",L66-F66)</f>
        <v/>
      </c>
      <c r="N66" s="5" t="n"/>
      <c r="O66" s="5" t="n"/>
    </row>
    <row r="67">
      <c r="A67">
        <f>IF('Blind Count Entry'!A65="","",'Blind Count Entry'!A65)</f>
        <v/>
      </c>
      <c r="B67" s="16">
        <f>IF($A67="","",'Blind Count Entry'!B65)</f>
        <v/>
      </c>
      <c r="C67">
        <f>IF($A67="","",'Blind Count Entry'!C65)</f>
        <v/>
      </c>
      <c r="D67">
        <f>IF($A67="","",'Blind Count Entry'!D65)</f>
        <v/>
      </c>
      <c r="E67">
        <f>IF($A67="","",IFERROR(INDEX('ABC Analysis'!$F:$F,MATCH($C67,'ABC Analysis'!$A:$A,0)),""))</f>
        <v/>
      </c>
      <c r="F67">
        <f>IF($A67="","",IFERROR(INDEX('Master Inventory'!$E:$E,MATCH($C67,'Master Inventory'!$A:$A,0)),0))</f>
        <v/>
      </c>
      <c r="G67">
        <f>IF($A67="","",'Blind Count Entry'!F65)</f>
        <v/>
      </c>
      <c r="H67">
        <f>IF($A67="","",G67-F67)</f>
        <v/>
      </c>
      <c r="I67" s="17">
        <f>IF($A67="","",IF(F67=0,IF(H67=0,0,1),ABS(H67)/F67))</f>
        <v/>
      </c>
      <c r="J67" s="18">
        <f>IF($A67="","",IF($E67="A",$E$1,IF($E67="B",$G$1,$I$1)))</f>
        <v/>
      </c>
      <c r="K67">
        <f>IF($A67="","",IF(H67=0,"MATCH",IF(I67&gt;J67,"RECOUNT","WITHIN TOLERANCE")))</f>
        <v/>
      </c>
      <c r="L67" s="5" t="n"/>
      <c r="M67">
        <f>IF(OR($A67="",$L67=""),"",L67-F67)</f>
        <v/>
      </c>
      <c r="N67" s="5" t="n"/>
      <c r="O67" s="5" t="n"/>
    </row>
    <row r="68">
      <c r="A68">
        <f>IF('Blind Count Entry'!A66="","",'Blind Count Entry'!A66)</f>
        <v/>
      </c>
      <c r="B68" s="16">
        <f>IF($A68="","",'Blind Count Entry'!B66)</f>
        <v/>
      </c>
      <c r="C68">
        <f>IF($A68="","",'Blind Count Entry'!C66)</f>
        <v/>
      </c>
      <c r="D68">
        <f>IF($A68="","",'Blind Count Entry'!D66)</f>
        <v/>
      </c>
      <c r="E68">
        <f>IF($A68="","",IFERROR(INDEX('ABC Analysis'!$F:$F,MATCH($C68,'ABC Analysis'!$A:$A,0)),""))</f>
        <v/>
      </c>
      <c r="F68">
        <f>IF($A68="","",IFERROR(INDEX('Master Inventory'!$E:$E,MATCH($C68,'Master Inventory'!$A:$A,0)),0))</f>
        <v/>
      </c>
      <c r="G68">
        <f>IF($A68="","",'Blind Count Entry'!F66)</f>
        <v/>
      </c>
      <c r="H68">
        <f>IF($A68="","",G68-F68)</f>
        <v/>
      </c>
      <c r="I68" s="17">
        <f>IF($A68="","",IF(F68=0,IF(H68=0,0,1),ABS(H68)/F68))</f>
        <v/>
      </c>
      <c r="J68" s="18">
        <f>IF($A68="","",IF($E68="A",$E$1,IF($E68="B",$G$1,$I$1)))</f>
        <v/>
      </c>
      <c r="K68">
        <f>IF($A68="","",IF(H68=0,"MATCH",IF(I68&gt;J68,"RECOUNT","WITHIN TOLERANCE")))</f>
        <v/>
      </c>
      <c r="L68" s="5" t="n"/>
      <c r="M68">
        <f>IF(OR($A68="",$L68=""),"",L68-F68)</f>
        <v/>
      </c>
      <c r="N68" s="5" t="n"/>
      <c r="O68" s="5" t="n"/>
    </row>
    <row r="69">
      <c r="A69">
        <f>IF('Blind Count Entry'!A67="","",'Blind Count Entry'!A67)</f>
        <v/>
      </c>
      <c r="B69" s="16">
        <f>IF($A69="","",'Blind Count Entry'!B67)</f>
        <v/>
      </c>
      <c r="C69">
        <f>IF($A69="","",'Blind Count Entry'!C67)</f>
        <v/>
      </c>
      <c r="D69">
        <f>IF($A69="","",'Blind Count Entry'!D67)</f>
        <v/>
      </c>
      <c r="E69">
        <f>IF($A69="","",IFERROR(INDEX('ABC Analysis'!$F:$F,MATCH($C69,'ABC Analysis'!$A:$A,0)),""))</f>
        <v/>
      </c>
      <c r="F69">
        <f>IF($A69="","",IFERROR(INDEX('Master Inventory'!$E:$E,MATCH($C69,'Master Inventory'!$A:$A,0)),0))</f>
        <v/>
      </c>
      <c r="G69">
        <f>IF($A69="","",'Blind Count Entry'!F67)</f>
        <v/>
      </c>
      <c r="H69">
        <f>IF($A69="","",G69-F69)</f>
        <v/>
      </c>
      <c r="I69" s="17">
        <f>IF($A69="","",IF(F69=0,IF(H69=0,0,1),ABS(H69)/F69))</f>
        <v/>
      </c>
      <c r="J69" s="18">
        <f>IF($A69="","",IF($E69="A",$E$1,IF($E69="B",$G$1,$I$1)))</f>
        <v/>
      </c>
      <c r="K69">
        <f>IF($A69="","",IF(H69=0,"MATCH",IF(I69&gt;J69,"RECOUNT","WITHIN TOLERANCE")))</f>
        <v/>
      </c>
      <c r="L69" s="5" t="n"/>
      <c r="M69">
        <f>IF(OR($A69="",$L69=""),"",L69-F69)</f>
        <v/>
      </c>
      <c r="N69" s="5" t="n"/>
      <c r="O69" s="5" t="n"/>
    </row>
    <row r="70">
      <c r="A70">
        <f>IF('Blind Count Entry'!A68="","",'Blind Count Entry'!A68)</f>
        <v/>
      </c>
      <c r="B70" s="16">
        <f>IF($A70="","",'Blind Count Entry'!B68)</f>
        <v/>
      </c>
      <c r="C70">
        <f>IF($A70="","",'Blind Count Entry'!C68)</f>
        <v/>
      </c>
      <c r="D70">
        <f>IF($A70="","",'Blind Count Entry'!D68)</f>
        <v/>
      </c>
      <c r="E70">
        <f>IF($A70="","",IFERROR(INDEX('ABC Analysis'!$F:$F,MATCH($C70,'ABC Analysis'!$A:$A,0)),""))</f>
        <v/>
      </c>
      <c r="F70">
        <f>IF($A70="","",IFERROR(INDEX('Master Inventory'!$E:$E,MATCH($C70,'Master Inventory'!$A:$A,0)),0))</f>
        <v/>
      </c>
      <c r="G70">
        <f>IF($A70="","",'Blind Count Entry'!F68)</f>
        <v/>
      </c>
      <c r="H70">
        <f>IF($A70="","",G70-F70)</f>
        <v/>
      </c>
      <c r="I70" s="17">
        <f>IF($A70="","",IF(F70=0,IF(H70=0,0,1),ABS(H70)/F70))</f>
        <v/>
      </c>
      <c r="J70" s="18">
        <f>IF($A70="","",IF($E70="A",$E$1,IF($E70="B",$G$1,$I$1)))</f>
        <v/>
      </c>
      <c r="K70">
        <f>IF($A70="","",IF(H70=0,"MATCH",IF(I70&gt;J70,"RECOUNT","WITHIN TOLERANCE")))</f>
        <v/>
      </c>
      <c r="L70" s="5" t="n"/>
      <c r="M70">
        <f>IF(OR($A70="",$L70=""),"",L70-F70)</f>
        <v/>
      </c>
      <c r="N70" s="5" t="n"/>
      <c r="O70" s="5" t="n"/>
    </row>
    <row r="71">
      <c r="A71">
        <f>IF('Blind Count Entry'!A69="","",'Blind Count Entry'!A69)</f>
        <v/>
      </c>
      <c r="B71" s="16">
        <f>IF($A71="","",'Blind Count Entry'!B69)</f>
        <v/>
      </c>
      <c r="C71">
        <f>IF($A71="","",'Blind Count Entry'!C69)</f>
        <v/>
      </c>
      <c r="D71">
        <f>IF($A71="","",'Blind Count Entry'!D69)</f>
        <v/>
      </c>
      <c r="E71">
        <f>IF($A71="","",IFERROR(INDEX('ABC Analysis'!$F:$F,MATCH($C71,'ABC Analysis'!$A:$A,0)),""))</f>
        <v/>
      </c>
      <c r="F71">
        <f>IF($A71="","",IFERROR(INDEX('Master Inventory'!$E:$E,MATCH($C71,'Master Inventory'!$A:$A,0)),0))</f>
        <v/>
      </c>
      <c r="G71">
        <f>IF($A71="","",'Blind Count Entry'!F69)</f>
        <v/>
      </c>
      <c r="H71">
        <f>IF($A71="","",G71-F71)</f>
        <v/>
      </c>
      <c r="I71" s="17">
        <f>IF($A71="","",IF(F71=0,IF(H71=0,0,1),ABS(H71)/F71))</f>
        <v/>
      </c>
      <c r="J71" s="18">
        <f>IF($A71="","",IF($E71="A",$E$1,IF($E71="B",$G$1,$I$1)))</f>
        <v/>
      </c>
      <c r="K71">
        <f>IF($A71="","",IF(H71=0,"MATCH",IF(I71&gt;J71,"RECOUNT","WITHIN TOLERANCE")))</f>
        <v/>
      </c>
      <c r="L71" s="5" t="n"/>
      <c r="M71">
        <f>IF(OR($A71="",$L71=""),"",L71-F71)</f>
        <v/>
      </c>
      <c r="N71" s="5" t="n"/>
      <c r="O71" s="5" t="n"/>
    </row>
    <row r="72">
      <c r="A72">
        <f>IF('Blind Count Entry'!A70="","",'Blind Count Entry'!A70)</f>
        <v/>
      </c>
      <c r="B72" s="16">
        <f>IF($A72="","",'Blind Count Entry'!B70)</f>
        <v/>
      </c>
      <c r="C72">
        <f>IF($A72="","",'Blind Count Entry'!C70)</f>
        <v/>
      </c>
      <c r="D72">
        <f>IF($A72="","",'Blind Count Entry'!D70)</f>
        <v/>
      </c>
      <c r="E72">
        <f>IF($A72="","",IFERROR(INDEX('ABC Analysis'!$F:$F,MATCH($C72,'ABC Analysis'!$A:$A,0)),""))</f>
        <v/>
      </c>
      <c r="F72">
        <f>IF($A72="","",IFERROR(INDEX('Master Inventory'!$E:$E,MATCH($C72,'Master Inventory'!$A:$A,0)),0))</f>
        <v/>
      </c>
      <c r="G72">
        <f>IF($A72="","",'Blind Count Entry'!F70)</f>
        <v/>
      </c>
      <c r="H72">
        <f>IF($A72="","",G72-F72)</f>
        <v/>
      </c>
      <c r="I72" s="17">
        <f>IF($A72="","",IF(F72=0,IF(H72=0,0,1),ABS(H72)/F72))</f>
        <v/>
      </c>
      <c r="J72" s="18">
        <f>IF($A72="","",IF($E72="A",$E$1,IF($E72="B",$G$1,$I$1)))</f>
        <v/>
      </c>
      <c r="K72">
        <f>IF($A72="","",IF(H72=0,"MATCH",IF(I72&gt;J72,"RECOUNT","WITHIN TOLERANCE")))</f>
        <v/>
      </c>
      <c r="L72" s="5" t="n"/>
      <c r="M72">
        <f>IF(OR($A72="",$L72=""),"",L72-F72)</f>
        <v/>
      </c>
      <c r="N72" s="5" t="n"/>
      <c r="O72" s="5" t="n"/>
    </row>
    <row r="73">
      <c r="A73">
        <f>IF('Blind Count Entry'!A71="","",'Blind Count Entry'!A71)</f>
        <v/>
      </c>
      <c r="B73" s="16">
        <f>IF($A73="","",'Blind Count Entry'!B71)</f>
        <v/>
      </c>
      <c r="C73">
        <f>IF($A73="","",'Blind Count Entry'!C71)</f>
        <v/>
      </c>
      <c r="D73">
        <f>IF($A73="","",'Blind Count Entry'!D71)</f>
        <v/>
      </c>
      <c r="E73">
        <f>IF($A73="","",IFERROR(INDEX('ABC Analysis'!$F:$F,MATCH($C73,'ABC Analysis'!$A:$A,0)),""))</f>
        <v/>
      </c>
      <c r="F73">
        <f>IF($A73="","",IFERROR(INDEX('Master Inventory'!$E:$E,MATCH($C73,'Master Inventory'!$A:$A,0)),0))</f>
        <v/>
      </c>
      <c r="G73">
        <f>IF($A73="","",'Blind Count Entry'!F71)</f>
        <v/>
      </c>
      <c r="H73">
        <f>IF($A73="","",G73-F73)</f>
        <v/>
      </c>
      <c r="I73" s="17">
        <f>IF($A73="","",IF(F73=0,IF(H73=0,0,1),ABS(H73)/F73))</f>
        <v/>
      </c>
      <c r="J73" s="18">
        <f>IF($A73="","",IF($E73="A",$E$1,IF($E73="B",$G$1,$I$1)))</f>
        <v/>
      </c>
      <c r="K73">
        <f>IF($A73="","",IF(H73=0,"MATCH",IF(I73&gt;J73,"RECOUNT","WITHIN TOLERANCE")))</f>
        <v/>
      </c>
      <c r="L73" s="5" t="n"/>
      <c r="M73">
        <f>IF(OR($A73="",$L73=""),"",L73-F73)</f>
        <v/>
      </c>
      <c r="N73" s="5" t="n"/>
      <c r="O73" s="5" t="n"/>
    </row>
    <row r="74">
      <c r="A74">
        <f>IF('Blind Count Entry'!A72="","",'Blind Count Entry'!A72)</f>
        <v/>
      </c>
      <c r="B74" s="16">
        <f>IF($A74="","",'Blind Count Entry'!B72)</f>
        <v/>
      </c>
      <c r="C74">
        <f>IF($A74="","",'Blind Count Entry'!C72)</f>
        <v/>
      </c>
      <c r="D74">
        <f>IF($A74="","",'Blind Count Entry'!D72)</f>
        <v/>
      </c>
      <c r="E74">
        <f>IF($A74="","",IFERROR(INDEX('ABC Analysis'!$F:$F,MATCH($C74,'ABC Analysis'!$A:$A,0)),""))</f>
        <v/>
      </c>
      <c r="F74">
        <f>IF($A74="","",IFERROR(INDEX('Master Inventory'!$E:$E,MATCH($C74,'Master Inventory'!$A:$A,0)),0))</f>
        <v/>
      </c>
      <c r="G74">
        <f>IF($A74="","",'Blind Count Entry'!F72)</f>
        <v/>
      </c>
      <c r="H74">
        <f>IF($A74="","",G74-F74)</f>
        <v/>
      </c>
      <c r="I74" s="17">
        <f>IF($A74="","",IF(F74=0,IF(H74=0,0,1),ABS(H74)/F74))</f>
        <v/>
      </c>
      <c r="J74" s="18">
        <f>IF($A74="","",IF($E74="A",$E$1,IF($E74="B",$G$1,$I$1)))</f>
        <v/>
      </c>
      <c r="K74">
        <f>IF($A74="","",IF(H74=0,"MATCH",IF(I74&gt;J74,"RECOUNT","WITHIN TOLERANCE")))</f>
        <v/>
      </c>
      <c r="L74" s="5" t="n"/>
      <c r="M74">
        <f>IF(OR($A74="",$L74=""),"",L74-F74)</f>
        <v/>
      </c>
      <c r="N74" s="5" t="n"/>
      <c r="O74" s="5" t="n"/>
    </row>
    <row r="75">
      <c r="A75">
        <f>IF('Blind Count Entry'!A73="","",'Blind Count Entry'!A73)</f>
        <v/>
      </c>
      <c r="B75" s="16">
        <f>IF($A75="","",'Blind Count Entry'!B73)</f>
        <v/>
      </c>
      <c r="C75">
        <f>IF($A75="","",'Blind Count Entry'!C73)</f>
        <v/>
      </c>
      <c r="D75">
        <f>IF($A75="","",'Blind Count Entry'!D73)</f>
        <v/>
      </c>
      <c r="E75">
        <f>IF($A75="","",IFERROR(INDEX('ABC Analysis'!$F:$F,MATCH($C75,'ABC Analysis'!$A:$A,0)),""))</f>
        <v/>
      </c>
      <c r="F75">
        <f>IF($A75="","",IFERROR(INDEX('Master Inventory'!$E:$E,MATCH($C75,'Master Inventory'!$A:$A,0)),0))</f>
        <v/>
      </c>
      <c r="G75">
        <f>IF($A75="","",'Blind Count Entry'!F73)</f>
        <v/>
      </c>
      <c r="H75">
        <f>IF($A75="","",G75-F75)</f>
        <v/>
      </c>
      <c r="I75" s="17">
        <f>IF($A75="","",IF(F75=0,IF(H75=0,0,1),ABS(H75)/F75))</f>
        <v/>
      </c>
      <c r="J75" s="18">
        <f>IF($A75="","",IF($E75="A",$E$1,IF($E75="B",$G$1,$I$1)))</f>
        <v/>
      </c>
      <c r="K75">
        <f>IF($A75="","",IF(H75=0,"MATCH",IF(I75&gt;J75,"RECOUNT","WITHIN TOLERANCE")))</f>
        <v/>
      </c>
      <c r="L75" s="5" t="n"/>
      <c r="M75">
        <f>IF(OR($A75="",$L75=""),"",L75-F75)</f>
        <v/>
      </c>
      <c r="N75" s="5" t="n"/>
      <c r="O75" s="5" t="n"/>
    </row>
    <row r="76">
      <c r="A76">
        <f>IF('Blind Count Entry'!A74="","",'Blind Count Entry'!A74)</f>
        <v/>
      </c>
      <c r="B76" s="16">
        <f>IF($A76="","",'Blind Count Entry'!B74)</f>
        <v/>
      </c>
      <c r="C76">
        <f>IF($A76="","",'Blind Count Entry'!C74)</f>
        <v/>
      </c>
      <c r="D76">
        <f>IF($A76="","",'Blind Count Entry'!D74)</f>
        <v/>
      </c>
      <c r="E76">
        <f>IF($A76="","",IFERROR(INDEX('ABC Analysis'!$F:$F,MATCH($C76,'ABC Analysis'!$A:$A,0)),""))</f>
        <v/>
      </c>
      <c r="F76">
        <f>IF($A76="","",IFERROR(INDEX('Master Inventory'!$E:$E,MATCH($C76,'Master Inventory'!$A:$A,0)),0))</f>
        <v/>
      </c>
      <c r="G76">
        <f>IF($A76="","",'Blind Count Entry'!F74)</f>
        <v/>
      </c>
      <c r="H76">
        <f>IF($A76="","",G76-F76)</f>
        <v/>
      </c>
      <c r="I76" s="17">
        <f>IF($A76="","",IF(F76=0,IF(H76=0,0,1),ABS(H76)/F76))</f>
        <v/>
      </c>
      <c r="J76" s="18">
        <f>IF($A76="","",IF($E76="A",$E$1,IF($E76="B",$G$1,$I$1)))</f>
        <v/>
      </c>
      <c r="K76">
        <f>IF($A76="","",IF(H76=0,"MATCH",IF(I76&gt;J76,"RECOUNT","WITHIN TOLERANCE")))</f>
        <v/>
      </c>
      <c r="L76" s="5" t="n"/>
      <c r="M76">
        <f>IF(OR($A76="",$L76=""),"",L76-F76)</f>
        <v/>
      </c>
      <c r="N76" s="5" t="n"/>
      <c r="O76" s="5" t="n"/>
    </row>
    <row r="77">
      <c r="A77">
        <f>IF('Blind Count Entry'!A75="","",'Blind Count Entry'!A75)</f>
        <v/>
      </c>
      <c r="B77" s="16">
        <f>IF($A77="","",'Blind Count Entry'!B75)</f>
        <v/>
      </c>
      <c r="C77">
        <f>IF($A77="","",'Blind Count Entry'!C75)</f>
        <v/>
      </c>
      <c r="D77">
        <f>IF($A77="","",'Blind Count Entry'!D75)</f>
        <v/>
      </c>
      <c r="E77">
        <f>IF($A77="","",IFERROR(INDEX('ABC Analysis'!$F:$F,MATCH($C77,'ABC Analysis'!$A:$A,0)),""))</f>
        <v/>
      </c>
      <c r="F77">
        <f>IF($A77="","",IFERROR(INDEX('Master Inventory'!$E:$E,MATCH($C77,'Master Inventory'!$A:$A,0)),0))</f>
        <v/>
      </c>
      <c r="G77">
        <f>IF($A77="","",'Blind Count Entry'!F75)</f>
        <v/>
      </c>
      <c r="H77">
        <f>IF($A77="","",G77-F77)</f>
        <v/>
      </c>
      <c r="I77" s="17">
        <f>IF($A77="","",IF(F77=0,IF(H77=0,0,1),ABS(H77)/F77))</f>
        <v/>
      </c>
      <c r="J77" s="18">
        <f>IF($A77="","",IF($E77="A",$E$1,IF($E77="B",$G$1,$I$1)))</f>
        <v/>
      </c>
      <c r="K77">
        <f>IF($A77="","",IF(H77=0,"MATCH",IF(I77&gt;J77,"RECOUNT","WITHIN TOLERANCE")))</f>
        <v/>
      </c>
      <c r="L77" s="5" t="n"/>
      <c r="M77">
        <f>IF(OR($A77="",$L77=""),"",L77-F77)</f>
        <v/>
      </c>
      <c r="N77" s="5" t="n"/>
      <c r="O77" s="5" t="n"/>
    </row>
    <row r="78">
      <c r="A78">
        <f>IF('Blind Count Entry'!A76="","",'Blind Count Entry'!A76)</f>
        <v/>
      </c>
      <c r="B78" s="16">
        <f>IF($A78="","",'Blind Count Entry'!B76)</f>
        <v/>
      </c>
      <c r="C78">
        <f>IF($A78="","",'Blind Count Entry'!C76)</f>
        <v/>
      </c>
      <c r="D78">
        <f>IF($A78="","",'Blind Count Entry'!D76)</f>
        <v/>
      </c>
      <c r="E78">
        <f>IF($A78="","",IFERROR(INDEX('ABC Analysis'!$F:$F,MATCH($C78,'ABC Analysis'!$A:$A,0)),""))</f>
        <v/>
      </c>
      <c r="F78">
        <f>IF($A78="","",IFERROR(INDEX('Master Inventory'!$E:$E,MATCH($C78,'Master Inventory'!$A:$A,0)),0))</f>
        <v/>
      </c>
      <c r="G78">
        <f>IF($A78="","",'Blind Count Entry'!F76)</f>
        <v/>
      </c>
      <c r="H78">
        <f>IF($A78="","",G78-F78)</f>
        <v/>
      </c>
      <c r="I78" s="17">
        <f>IF($A78="","",IF(F78=0,IF(H78=0,0,1),ABS(H78)/F78))</f>
        <v/>
      </c>
      <c r="J78" s="18">
        <f>IF($A78="","",IF($E78="A",$E$1,IF($E78="B",$G$1,$I$1)))</f>
        <v/>
      </c>
      <c r="K78">
        <f>IF($A78="","",IF(H78=0,"MATCH",IF(I78&gt;J78,"RECOUNT","WITHIN TOLERANCE")))</f>
        <v/>
      </c>
      <c r="L78" s="5" t="n"/>
      <c r="M78">
        <f>IF(OR($A78="",$L78=""),"",L78-F78)</f>
        <v/>
      </c>
      <c r="N78" s="5" t="n"/>
      <c r="O78" s="5" t="n"/>
    </row>
    <row r="79">
      <c r="A79">
        <f>IF('Blind Count Entry'!A77="","",'Blind Count Entry'!A77)</f>
        <v/>
      </c>
      <c r="B79" s="16">
        <f>IF($A79="","",'Blind Count Entry'!B77)</f>
        <v/>
      </c>
      <c r="C79">
        <f>IF($A79="","",'Blind Count Entry'!C77)</f>
        <v/>
      </c>
      <c r="D79">
        <f>IF($A79="","",'Blind Count Entry'!D77)</f>
        <v/>
      </c>
      <c r="E79">
        <f>IF($A79="","",IFERROR(INDEX('ABC Analysis'!$F:$F,MATCH($C79,'ABC Analysis'!$A:$A,0)),""))</f>
        <v/>
      </c>
      <c r="F79">
        <f>IF($A79="","",IFERROR(INDEX('Master Inventory'!$E:$E,MATCH($C79,'Master Inventory'!$A:$A,0)),0))</f>
        <v/>
      </c>
      <c r="G79">
        <f>IF($A79="","",'Blind Count Entry'!F77)</f>
        <v/>
      </c>
      <c r="H79">
        <f>IF($A79="","",G79-F79)</f>
        <v/>
      </c>
      <c r="I79" s="17">
        <f>IF($A79="","",IF(F79=0,IF(H79=0,0,1),ABS(H79)/F79))</f>
        <v/>
      </c>
      <c r="J79" s="18">
        <f>IF($A79="","",IF($E79="A",$E$1,IF($E79="B",$G$1,$I$1)))</f>
        <v/>
      </c>
      <c r="K79">
        <f>IF($A79="","",IF(H79=0,"MATCH",IF(I79&gt;J79,"RECOUNT","WITHIN TOLERANCE")))</f>
        <v/>
      </c>
      <c r="L79" s="5" t="n"/>
      <c r="M79">
        <f>IF(OR($A79="",$L79=""),"",L79-F79)</f>
        <v/>
      </c>
      <c r="N79" s="5" t="n"/>
      <c r="O79" s="5" t="n"/>
    </row>
    <row r="80">
      <c r="A80">
        <f>IF('Blind Count Entry'!A78="","",'Blind Count Entry'!A78)</f>
        <v/>
      </c>
      <c r="B80" s="16">
        <f>IF($A80="","",'Blind Count Entry'!B78)</f>
        <v/>
      </c>
      <c r="C80">
        <f>IF($A80="","",'Blind Count Entry'!C78)</f>
        <v/>
      </c>
      <c r="D80">
        <f>IF($A80="","",'Blind Count Entry'!D78)</f>
        <v/>
      </c>
      <c r="E80">
        <f>IF($A80="","",IFERROR(INDEX('ABC Analysis'!$F:$F,MATCH($C80,'ABC Analysis'!$A:$A,0)),""))</f>
        <v/>
      </c>
      <c r="F80">
        <f>IF($A80="","",IFERROR(INDEX('Master Inventory'!$E:$E,MATCH($C80,'Master Inventory'!$A:$A,0)),0))</f>
        <v/>
      </c>
      <c r="G80">
        <f>IF($A80="","",'Blind Count Entry'!F78)</f>
        <v/>
      </c>
      <c r="H80">
        <f>IF($A80="","",G80-F80)</f>
        <v/>
      </c>
      <c r="I80" s="17">
        <f>IF($A80="","",IF(F80=0,IF(H80=0,0,1),ABS(H80)/F80))</f>
        <v/>
      </c>
      <c r="J80" s="18">
        <f>IF($A80="","",IF($E80="A",$E$1,IF($E80="B",$G$1,$I$1)))</f>
        <v/>
      </c>
      <c r="K80">
        <f>IF($A80="","",IF(H80=0,"MATCH",IF(I80&gt;J80,"RECOUNT","WITHIN TOLERANCE")))</f>
        <v/>
      </c>
      <c r="L80" s="5" t="n"/>
      <c r="M80">
        <f>IF(OR($A80="",$L80=""),"",L80-F80)</f>
        <v/>
      </c>
      <c r="N80" s="5" t="n"/>
      <c r="O80" s="5" t="n"/>
    </row>
    <row r="81">
      <c r="A81">
        <f>IF('Blind Count Entry'!A79="","",'Blind Count Entry'!A79)</f>
        <v/>
      </c>
      <c r="B81" s="16">
        <f>IF($A81="","",'Blind Count Entry'!B79)</f>
        <v/>
      </c>
      <c r="C81">
        <f>IF($A81="","",'Blind Count Entry'!C79)</f>
        <v/>
      </c>
      <c r="D81">
        <f>IF($A81="","",'Blind Count Entry'!D79)</f>
        <v/>
      </c>
      <c r="E81">
        <f>IF($A81="","",IFERROR(INDEX('ABC Analysis'!$F:$F,MATCH($C81,'ABC Analysis'!$A:$A,0)),""))</f>
        <v/>
      </c>
      <c r="F81">
        <f>IF($A81="","",IFERROR(INDEX('Master Inventory'!$E:$E,MATCH($C81,'Master Inventory'!$A:$A,0)),0))</f>
        <v/>
      </c>
      <c r="G81">
        <f>IF($A81="","",'Blind Count Entry'!F79)</f>
        <v/>
      </c>
      <c r="H81">
        <f>IF($A81="","",G81-F81)</f>
        <v/>
      </c>
      <c r="I81" s="17">
        <f>IF($A81="","",IF(F81=0,IF(H81=0,0,1),ABS(H81)/F81))</f>
        <v/>
      </c>
      <c r="J81" s="18">
        <f>IF($A81="","",IF($E81="A",$E$1,IF($E81="B",$G$1,$I$1)))</f>
        <v/>
      </c>
      <c r="K81">
        <f>IF($A81="","",IF(H81=0,"MATCH",IF(I81&gt;J81,"RECOUNT","WITHIN TOLERANCE")))</f>
        <v/>
      </c>
      <c r="L81" s="5" t="n"/>
      <c r="M81">
        <f>IF(OR($A81="",$L81=""),"",L81-F81)</f>
        <v/>
      </c>
      <c r="N81" s="5" t="n"/>
      <c r="O81" s="5" t="n"/>
    </row>
    <row r="82">
      <c r="A82">
        <f>IF('Blind Count Entry'!A80="","",'Blind Count Entry'!A80)</f>
        <v/>
      </c>
      <c r="B82" s="16">
        <f>IF($A82="","",'Blind Count Entry'!B80)</f>
        <v/>
      </c>
      <c r="C82">
        <f>IF($A82="","",'Blind Count Entry'!C80)</f>
        <v/>
      </c>
      <c r="D82">
        <f>IF($A82="","",'Blind Count Entry'!D80)</f>
        <v/>
      </c>
      <c r="E82">
        <f>IF($A82="","",IFERROR(INDEX('ABC Analysis'!$F:$F,MATCH($C82,'ABC Analysis'!$A:$A,0)),""))</f>
        <v/>
      </c>
      <c r="F82">
        <f>IF($A82="","",IFERROR(INDEX('Master Inventory'!$E:$E,MATCH($C82,'Master Inventory'!$A:$A,0)),0))</f>
        <v/>
      </c>
      <c r="G82">
        <f>IF($A82="","",'Blind Count Entry'!F80)</f>
        <v/>
      </c>
      <c r="H82">
        <f>IF($A82="","",G82-F82)</f>
        <v/>
      </c>
      <c r="I82" s="17">
        <f>IF($A82="","",IF(F82=0,IF(H82=0,0,1),ABS(H82)/F82))</f>
        <v/>
      </c>
      <c r="J82" s="18">
        <f>IF($A82="","",IF($E82="A",$E$1,IF($E82="B",$G$1,$I$1)))</f>
        <v/>
      </c>
      <c r="K82">
        <f>IF($A82="","",IF(H82=0,"MATCH",IF(I82&gt;J82,"RECOUNT","WITHIN TOLERANCE")))</f>
        <v/>
      </c>
      <c r="L82" s="5" t="n"/>
      <c r="M82">
        <f>IF(OR($A82="",$L82=""),"",L82-F82)</f>
        <v/>
      </c>
      <c r="N82" s="5" t="n"/>
      <c r="O82" s="5" t="n"/>
    </row>
    <row r="83">
      <c r="A83">
        <f>IF('Blind Count Entry'!A81="","",'Blind Count Entry'!A81)</f>
        <v/>
      </c>
      <c r="B83" s="16">
        <f>IF($A83="","",'Blind Count Entry'!B81)</f>
        <v/>
      </c>
      <c r="C83">
        <f>IF($A83="","",'Blind Count Entry'!C81)</f>
        <v/>
      </c>
      <c r="D83">
        <f>IF($A83="","",'Blind Count Entry'!D81)</f>
        <v/>
      </c>
      <c r="E83">
        <f>IF($A83="","",IFERROR(INDEX('ABC Analysis'!$F:$F,MATCH($C83,'ABC Analysis'!$A:$A,0)),""))</f>
        <v/>
      </c>
      <c r="F83">
        <f>IF($A83="","",IFERROR(INDEX('Master Inventory'!$E:$E,MATCH($C83,'Master Inventory'!$A:$A,0)),0))</f>
        <v/>
      </c>
      <c r="G83">
        <f>IF($A83="","",'Blind Count Entry'!F81)</f>
        <v/>
      </c>
      <c r="H83">
        <f>IF($A83="","",G83-F83)</f>
        <v/>
      </c>
      <c r="I83" s="17">
        <f>IF($A83="","",IF(F83=0,IF(H83=0,0,1),ABS(H83)/F83))</f>
        <v/>
      </c>
      <c r="J83" s="18">
        <f>IF($A83="","",IF($E83="A",$E$1,IF($E83="B",$G$1,$I$1)))</f>
        <v/>
      </c>
      <c r="K83">
        <f>IF($A83="","",IF(H83=0,"MATCH",IF(I83&gt;J83,"RECOUNT","WITHIN TOLERANCE")))</f>
        <v/>
      </c>
      <c r="L83" s="5" t="n"/>
      <c r="M83">
        <f>IF(OR($A83="",$L83=""),"",L83-F83)</f>
        <v/>
      </c>
      <c r="N83" s="5" t="n"/>
      <c r="O83" s="5" t="n"/>
    </row>
    <row r="84">
      <c r="A84">
        <f>IF('Blind Count Entry'!A82="","",'Blind Count Entry'!A82)</f>
        <v/>
      </c>
      <c r="B84" s="16">
        <f>IF($A84="","",'Blind Count Entry'!B82)</f>
        <v/>
      </c>
      <c r="C84">
        <f>IF($A84="","",'Blind Count Entry'!C82)</f>
        <v/>
      </c>
      <c r="D84">
        <f>IF($A84="","",'Blind Count Entry'!D82)</f>
        <v/>
      </c>
      <c r="E84">
        <f>IF($A84="","",IFERROR(INDEX('ABC Analysis'!$F:$F,MATCH($C84,'ABC Analysis'!$A:$A,0)),""))</f>
        <v/>
      </c>
      <c r="F84">
        <f>IF($A84="","",IFERROR(INDEX('Master Inventory'!$E:$E,MATCH($C84,'Master Inventory'!$A:$A,0)),0))</f>
        <v/>
      </c>
      <c r="G84">
        <f>IF($A84="","",'Blind Count Entry'!F82)</f>
        <v/>
      </c>
      <c r="H84">
        <f>IF($A84="","",G84-F84)</f>
        <v/>
      </c>
      <c r="I84" s="17">
        <f>IF($A84="","",IF(F84=0,IF(H84=0,0,1),ABS(H84)/F84))</f>
        <v/>
      </c>
      <c r="J84" s="18">
        <f>IF($A84="","",IF($E84="A",$E$1,IF($E84="B",$G$1,$I$1)))</f>
        <v/>
      </c>
      <c r="K84">
        <f>IF($A84="","",IF(H84=0,"MATCH",IF(I84&gt;J84,"RECOUNT","WITHIN TOLERANCE")))</f>
        <v/>
      </c>
      <c r="L84" s="5" t="n"/>
      <c r="M84">
        <f>IF(OR($A84="",$L84=""),"",L84-F84)</f>
        <v/>
      </c>
      <c r="N84" s="5" t="n"/>
      <c r="O84" s="5" t="n"/>
    </row>
    <row r="85">
      <c r="A85">
        <f>IF('Blind Count Entry'!A83="","",'Blind Count Entry'!A83)</f>
        <v/>
      </c>
      <c r="B85" s="16">
        <f>IF($A85="","",'Blind Count Entry'!B83)</f>
        <v/>
      </c>
      <c r="C85">
        <f>IF($A85="","",'Blind Count Entry'!C83)</f>
        <v/>
      </c>
      <c r="D85">
        <f>IF($A85="","",'Blind Count Entry'!D83)</f>
        <v/>
      </c>
      <c r="E85">
        <f>IF($A85="","",IFERROR(INDEX('ABC Analysis'!$F:$F,MATCH($C85,'ABC Analysis'!$A:$A,0)),""))</f>
        <v/>
      </c>
      <c r="F85">
        <f>IF($A85="","",IFERROR(INDEX('Master Inventory'!$E:$E,MATCH($C85,'Master Inventory'!$A:$A,0)),0))</f>
        <v/>
      </c>
      <c r="G85">
        <f>IF($A85="","",'Blind Count Entry'!F83)</f>
        <v/>
      </c>
      <c r="H85">
        <f>IF($A85="","",G85-F85)</f>
        <v/>
      </c>
      <c r="I85" s="17">
        <f>IF($A85="","",IF(F85=0,IF(H85=0,0,1),ABS(H85)/F85))</f>
        <v/>
      </c>
      <c r="J85" s="18">
        <f>IF($A85="","",IF($E85="A",$E$1,IF($E85="B",$G$1,$I$1)))</f>
        <v/>
      </c>
      <c r="K85">
        <f>IF($A85="","",IF(H85=0,"MATCH",IF(I85&gt;J85,"RECOUNT","WITHIN TOLERANCE")))</f>
        <v/>
      </c>
      <c r="L85" s="5" t="n"/>
      <c r="M85">
        <f>IF(OR($A85="",$L85=""),"",L85-F85)</f>
        <v/>
      </c>
      <c r="N85" s="5" t="n"/>
      <c r="O85" s="5" t="n"/>
    </row>
    <row r="86">
      <c r="A86">
        <f>IF('Blind Count Entry'!A84="","",'Blind Count Entry'!A84)</f>
        <v/>
      </c>
      <c r="B86" s="16">
        <f>IF($A86="","",'Blind Count Entry'!B84)</f>
        <v/>
      </c>
      <c r="C86">
        <f>IF($A86="","",'Blind Count Entry'!C84)</f>
        <v/>
      </c>
      <c r="D86">
        <f>IF($A86="","",'Blind Count Entry'!D84)</f>
        <v/>
      </c>
      <c r="E86">
        <f>IF($A86="","",IFERROR(INDEX('ABC Analysis'!$F:$F,MATCH($C86,'ABC Analysis'!$A:$A,0)),""))</f>
        <v/>
      </c>
      <c r="F86">
        <f>IF($A86="","",IFERROR(INDEX('Master Inventory'!$E:$E,MATCH($C86,'Master Inventory'!$A:$A,0)),0))</f>
        <v/>
      </c>
      <c r="G86">
        <f>IF($A86="","",'Blind Count Entry'!F84)</f>
        <v/>
      </c>
      <c r="H86">
        <f>IF($A86="","",G86-F86)</f>
        <v/>
      </c>
      <c r="I86" s="17">
        <f>IF($A86="","",IF(F86=0,IF(H86=0,0,1),ABS(H86)/F86))</f>
        <v/>
      </c>
      <c r="J86" s="18">
        <f>IF($A86="","",IF($E86="A",$E$1,IF($E86="B",$G$1,$I$1)))</f>
        <v/>
      </c>
      <c r="K86">
        <f>IF($A86="","",IF(H86=0,"MATCH",IF(I86&gt;J86,"RECOUNT","WITHIN TOLERANCE")))</f>
        <v/>
      </c>
      <c r="L86" s="5" t="n"/>
      <c r="M86">
        <f>IF(OR($A86="",$L86=""),"",L86-F86)</f>
        <v/>
      </c>
      <c r="N86" s="5" t="n"/>
      <c r="O86" s="5" t="n"/>
    </row>
    <row r="87">
      <c r="A87">
        <f>IF('Blind Count Entry'!A85="","",'Blind Count Entry'!A85)</f>
        <v/>
      </c>
      <c r="B87" s="16">
        <f>IF($A87="","",'Blind Count Entry'!B85)</f>
        <v/>
      </c>
      <c r="C87">
        <f>IF($A87="","",'Blind Count Entry'!C85)</f>
        <v/>
      </c>
      <c r="D87">
        <f>IF($A87="","",'Blind Count Entry'!D85)</f>
        <v/>
      </c>
      <c r="E87">
        <f>IF($A87="","",IFERROR(INDEX('ABC Analysis'!$F:$F,MATCH($C87,'ABC Analysis'!$A:$A,0)),""))</f>
        <v/>
      </c>
      <c r="F87">
        <f>IF($A87="","",IFERROR(INDEX('Master Inventory'!$E:$E,MATCH($C87,'Master Inventory'!$A:$A,0)),0))</f>
        <v/>
      </c>
      <c r="G87">
        <f>IF($A87="","",'Blind Count Entry'!F85)</f>
        <v/>
      </c>
      <c r="H87">
        <f>IF($A87="","",G87-F87)</f>
        <v/>
      </c>
      <c r="I87" s="17">
        <f>IF($A87="","",IF(F87=0,IF(H87=0,0,1),ABS(H87)/F87))</f>
        <v/>
      </c>
      <c r="J87" s="18">
        <f>IF($A87="","",IF($E87="A",$E$1,IF($E87="B",$G$1,$I$1)))</f>
        <v/>
      </c>
      <c r="K87">
        <f>IF($A87="","",IF(H87=0,"MATCH",IF(I87&gt;J87,"RECOUNT","WITHIN TOLERANCE")))</f>
        <v/>
      </c>
      <c r="L87" s="5" t="n"/>
      <c r="M87">
        <f>IF(OR($A87="",$L87=""),"",L87-F87)</f>
        <v/>
      </c>
      <c r="N87" s="5" t="n"/>
      <c r="O87" s="5" t="n"/>
    </row>
    <row r="88">
      <c r="A88">
        <f>IF('Blind Count Entry'!A86="","",'Blind Count Entry'!A86)</f>
        <v/>
      </c>
      <c r="B88" s="16">
        <f>IF($A88="","",'Blind Count Entry'!B86)</f>
        <v/>
      </c>
      <c r="C88">
        <f>IF($A88="","",'Blind Count Entry'!C86)</f>
        <v/>
      </c>
      <c r="D88">
        <f>IF($A88="","",'Blind Count Entry'!D86)</f>
        <v/>
      </c>
      <c r="E88">
        <f>IF($A88="","",IFERROR(INDEX('ABC Analysis'!$F:$F,MATCH($C88,'ABC Analysis'!$A:$A,0)),""))</f>
        <v/>
      </c>
      <c r="F88">
        <f>IF($A88="","",IFERROR(INDEX('Master Inventory'!$E:$E,MATCH($C88,'Master Inventory'!$A:$A,0)),0))</f>
        <v/>
      </c>
      <c r="G88">
        <f>IF($A88="","",'Blind Count Entry'!F86)</f>
        <v/>
      </c>
      <c r="H88">
        <f>IF($A88="","",G88-F88)</f>
        <v/>
      </c>
      <c r="I88" s="17">
        <f>IF($A88="","",IF(F88=0,IF(H88=0,0,1),ABS(H88)/F88))</f>
        <v/>
      </c>
      <c r="J88" s="18">
        <f>IF($A88="","",IF($E88="A",$E$1,IF($E88="B",$G$1,$I$1)))</f>
        <v/>
      </c>
      <c r="K88">
        <f>IF($A88="","",IF(H88=0,"MATCH",IF(I88&gt;J88,"RECOUNT","WITHIN TOLERANCE")))</f>
        <v/>
      </c>
      <c r="L88" s="5" t="n"/>
      <c r="M88">
        <f>IF(OR($A88="",$L88=""),"",L88-F88)</f>
        <v/>
      </c>
      <c r="N88" s="5" t="n"/>
      <c r="O88" s="5" t="n"/>
    </row>
    <row r="89">
      <c r="A89">
        <f>IF('Blind Count Entry'!A87="","",'Blind Count Entry'!A87)</f>
        <v/>
      </c>
      <c r="B89" s="16">
        <f>IF($A89="","",'Blind Count Entry'!B87)</f>
        <v/>
      </c>
      <c r="C89">
        <f>IF($A89="","",'Blind Count Entry'!C87)</f>
        <v/>
      </c>
      <c r="D89">
        <f>IF($A89="","",'Blind Count Entry'!D87)</f>
        <v/>
      </c>
      <c r="E89">
        <f>IF($A89="","",IFERROR(INDEX('ABC Analysis'!$F:$F,MATCH($C89,'ABC Analysis'!$A:$A,0)),""))</f>
        <v/>
      </c>
      <c r="F89">
        <f>IF($A89="","",IFERROR(INDEX('Master Inventory'!$E:$E,MATCH($C89,'Master Inventory'!$A:$A,0)),0))</f>
        <v/>
      </c>
      <c r="G89">
        <f>IF($A89="","",'Blind Count Entry'!F87)</f>
        <v/>
      </c>
      <c r="H89">
        <f>IF($A89="","",G89-F89)</f>
        <v/>
      </c>
      <c r="I89" s="17">
        <f>IF($A89="","",IF(F89=0,IF(H89=0,0,1),ABS(H89)/F89))</f>
        <v/>
      </c>
      <c r="J89" s="18">
        <f>IF($A89="","",IF($E89="A",$E$1,IF($E89="B",$G$1,$I$1)))</f>
        <v/>
      </c>
      <c r="K89">
        <f>IF($A89="","",IF(H89=0,"MATCH",IF(I89&gt;J89,"RECOUNT","WITHIN TOLERANCE")))</f>
        <v/>
      </c>
      <c r="L89" s="5" t="n"/>
      <c r="M89">
        <f>IF(OR($A89="",$L89=""),"",L89-F89)</f>
        <v/>
      </c>
      <c r="N89" s="5" t="n"/>
      <c r="O89" s="5" t="n"/>
    </row>
    <row r="90">
      <c r="A90">
        <f>IF('Blind Count Entry'!A88="","",'Blind Count Entry'!A88)</f>
        <v/>
      </c>
      <c r="B90" s="16">
        <f>IF($A90="","",'Blind Count Entry'!B88)</f>
        <v/>
      </c>
      <c r="C90">
        <f>IF($A90="","",'Blind Count Entry'!C88)</f>
        <v/>
      </c>
      <c r="D90">
        <f>IF($A90="","",'Blind Count Entry'!D88)</f>
        <v/>
      </c>
      <c r="E90">
        <f>IF($A90="","",IFERROR(INDEX('ABC Analysis'!$F:$F,MATCH($C90,'ABC Analysis'!$A:$A,0)),""))</f>
        <v/>
      </c>
      <c r="F90">
        <f>IF($A90="","",IFERROR(INDEX('Master Inventory'!$E:$E,MATCH($C90,'Master Inventory'!$A:$A,0)),0))</f>
        <v/>
      </c>
      <c r="G90">
        <f>IF($A90="","",'Blind Count Entry'!F88)</f>
        <v/>
      </c>
      <c r="H90">
        <f>IF($A90="","",G90-F90)</f>
        <v/>
      </c>
      <c r="I90" s="17">
        <f>IF($A90="","",IF(F90=0,IF(H90=0,0,1),ABS(H90)/F90))</f>
        <v/>
      </c>
      <c r="J90" s="18">
        <f>IF($A90="","",IF($E90="A",$E$1,IF($E90="B",$G$1,$I$1)))</f>
        <v/>
      </c>
      <c r="K90">
        <f>IF($A90="","",IF(H90=0,"MATCH",IF(I90&gt;J90,"RECOUNT","WITHIN TOLERANCE")))</f>
        <v/>
      </c>
      <c r="L90" s="5" t="n"/>
      <c r="M90">
        <f>IF(OR($A90="",$L90=""),"",L90-F90)</f>
        <v/>
      </c>
      <c r="N90" s="5" t="n"/>
      <c r="O90" s="5" t="n"/>
    </row>
    <row r="91">
      <c r="A91">
        <f>IF('Blind Count Entry'!A89="","",'Blind Count Entry'!A89)</f>
        <v/>
      </c>
      <c r="B91" s="16">
        <f>IF($A91="","",'Blind Count Entry'!B89)</f>
        <v/>
      </c>
      <c r="C91">
        <f>IF($A91="","",'Blind Count Entry'!C89)</f>
        <v/>
      </c>
      <c r="D91">
        <f>IF($A91="","",'Blind Count Entry'!D89)</f>
        <v/>
      </c>
      <c r="E91">
        <f>IF($A91="","",IFERROR(INDEX('ABC Analysis'!$F:$F,MATCH($C91,'ABC Analysis'!$A:$A,0)),""))</f>
        <v/>
      </c>
      <c r="F91">
        <f>IF($A91="","",IFERROR(INDEX('Master Inventory'!$E:$E,MATCH($C91,'Master Inventory'!$A:$A,0)),0))</f>
        <v/>
      </c>
      <c r="G91">
        <f>IF($A91="","",'Blind Count Entry'!F89)</f>
        <v/>
      </c>
      <c r="H91">
        <f>IF($A91="","",G91-F91)</f>
        <v/>
      </c>
      <c r="I91" s="17">
        <f>IF($A91="","",IF(F91=0,IF(H91=0,0,1),ABS(H91)/F91))</f>
        <v/>
      </c>
      <c r="J91" s="18">
        <f>IF($A91="","",IF($E91="A",$E$1,IF($E91="B",$G$1,$I$1)))</f>
        <v/>
      </c>
      <c r="K91">
        <f>IF($A91="","",IF(H91=0,"MATCH",IF(I91&gt;J91,"RECOUNT","WITHIN TOLERANCE")))</f>
        <v/>
      </c>
      <c r="L91" s="5" t="n"/>
      <c r="M91">
        <f>IF(OR($A91="",$L91=""),"",L91-F91)</f>
        <v/>
      </c>
      <c r="N91" s="5" t="n"/>
      <c r="O91" s="5" t="n"/>
    </row>
    <row r="92">
      <c r="A92">
        <f>IF('Blind Count Entry'!A90="","",'Blind Count Entry'!A90)</f>
        <v/>
      </c>
      <c r="B92" s="16">
        <f>IF($A92="","",'Blind Count Entry'!B90)</f>
        <v/>
      </c>
      <c r="C92">
        <f>IF($A92="","",'Blind Count Entry'!C90)</f>
        <v/>
      </c>
      <c r="D92">
        <f>IF($A92="","",'Blind Count Entry'!D90)</f>
        <v/>
      </c>
      <c r="E92">
        <f>IF($A92="","",IFERROR(INDEX('ABC Analysis'!$F:$F,MATCH($C92,'ABC Analysis'!$A:$A,0)),""))</f>
        <v/>
      </c>
      <c r="F92">
        <f>IF($A92="","",IFERROR(INDEX('Master Inventory'!$E:$E,MATCH($C92,'Master Inventory'!$A:$A,0)),0))</f>
        <v/>
      </c>
      <c r="G92">
        <f>IF($A92="","",'Blind Count Entry'!F90)</f>
        <v/>
      </c>
      <c r="H92">
        <f>IF($A92="","",G92-F92)</f>
        <v/>
      </c>
      <c r="I92" s="17">
        <f>IF($A92="","",IF(F92=0,IF(H92=0,0,1),ABS(H92)/F92))</f>
        <v/>
      </c>
      <c r="J92" s="18">
        <f>IF($A92="","",IF($E92="A",$E$1,IF($E92="B",$G$1,$I$1)))</f>
        <v/>
      </c>
      <c r="K92">
        <f>IF($A92="","",IF(H92=0,"MATCH",IF(I92&gt;J92,"RECOUNT","WITHIN TOLERANCE")))</f>
        <v/>
      </c>
      <c r="L92" s="5" t="n"/>
      <c r="M92">
        <f>IF(OR($A92="",$L92=""),"",L92-F92)</f>
        <v/>
      </c>
      <c r="N92" s="5" t="n"/>
      <c r="O92" s="5" t="n"/>
    </row>
    <row r="93">
      <c r="A93">
        <f>IF('Blind Count Entry'!A91="","",'Blind Count Entry'!A91)</f>
        <v/>
      </c>
      <c r="B93" s="16">
        <f>IF($A93="","",'Blind Count Entry'!B91)</f>
        <v/>
      </c>
      <c r="C93">
        <f>IF($A93="","",'Blind Count Entry'!C91)</f>
        <v/>
      </c>
      <c r="D93">
        <f>IF($A93="","",'Blind Count Entry'!D91)</f>
        <v/>
      </c>
      <c r="E93">
        <f>IF($A93="","",IFERROR(INDEX('ABC Analysis'!$F:$F,MATCH($C93,'ABC Analysis'!$A:$A,0)),""))</f>
        <v/>
      </c>
      <c r="F93">
        <f>IF($A93="","",IFERROR(INDEX('Master Inventory'!$E:$E,MATCH($C93,'Master Inventory'!$A:$A,0)),0))</f>
        <v/>
      </c>
      <c r="G93">
        <f>IF($A93="","",'Blind Count Entry'!F91)</f>
        <v/>
      </c>
      <c r="H93">
        <f>IF($A93="","",G93-F93)</f>
        <v/>
      </c>
      <c r="I93" s="17">
        <f>IF($A93="","",IF(F93=0,IF(H93=0,0,1),ABS(H93)/F93))</f>
        <v/>
      </c>
      <c r="J93" s="18">
        <f>IF($A93="","",IF($E93="A",$E$1,IF($E93="B",$G$1,$I$1)))</f>
        <v/>
      </c>
      <c r="K93">
        <f>IF($A93="","",IF(H93=0,"MATCH",IF(I93&gt;J93,"RECOUNT","WITHIN TOLERANCE")))</f>
        <v/>
      </c>
      <c r="L93" s="5" t="n"/>
      <c r="M93">
        <f>IF(OR($A93="",$L93=""),"",L93-F93)</f>
        <v/>
      </c>
      <c r="N93" s="5" t="n"/>
      <c r="O93" s="5" t="n"/>
    </row>
    <row r="94">
      <c r="A94">
        <f>IF('Blind Count Entry'!A92="","",'Blind Count Entry'!A92)</f>
        <v/>
      </c>
      <c r="B94" s="16">
        <f>IF($A94="","",'Blind Count Entry'!B92)</f>
        <v/>
      </c>
      <c r="C94">
        <f>IF($A94="","",'Blind Count Entry'!C92)</f>
        <v/>
      </c>
      <c r="D94">
        <f>IF($A94="","",'Blind Count Entry'!D92)</f>
        <v/>
      </c>
      <c r="E94">
        <f>IF($A94="","",IFERROR(INDEX('ABC Analysis'!$F:$F,MATCH($C94,'ABC Analysis'!$A:$A,0)),""))</f>
        <v/>
      </c>
      <c r="F94">
        <f>IF($A94="","",IFERROR(INDEX('Master Inventory'!$E:$E,MATCH($C94,'Master Inventory'!$A:$A,0)),0))</f>
        <v/>
      </c>
      <c r="G94">
        <f>IF($A94="","",'Blind Count Entry'!F92)</f>
        <v/>
      </c>
      <c r="H94">
        <f>IF($A94="","",G94-F94)</f>
        <v/>
      </c>
      <c r="I94" s="17">
        <f>IF($A94="","",IF(F94=0,IF(H94=0,0,1),ABS(H94)/F94))</f>
        <v/>
      </c>
      <c r="J94" s="18">
        <f>IF($A94="","",IF($E94="A",$E$1,IF($E94="B",$G$1,$I$1)))</f>
        <v/>
      </c>
      <c r="K94">
        <f>IF($A94="","",IF(H94=0,"MATCH",IF(I94&gt;J94,"RECOUNT","WITHIN TOLERANCE")))</f>
        <v/>
      </c>
      <c r="L94" s="5" t="n"/>
      <c r="M94">
        <f>IF(OR($A94="",$L94=""),"",L94-F94)</f>
        <v/>
      </c>
      <c r="N94" s="5" t="n"/>
      <c r="O94" s="5" t="n"/>
    </row>
    <row r="95">
      <c r="A95">
        <f>IF('Blind Count Entry'!A93="","",'Blind Count Entry'!A93)</f>
        <v/>
      </c>
      <c r="B95" s="16">
        <f>IF($A95="","",'Blind Count Entry'!B93)</f>
        <v/>
      </c>
      <c r="C95">
        <f>IF($A95="","",'Blind Count Entry'!C93)</f>
        <v/>
      </c>
      <c r="D95">
        <f>IF($A95="","",'Blind Count Entry'!D93)</f>
        <v/>
      </c>
      <c r="E95">
        <f>IF($A95="","",IFERROR(INDEX('ABC Analysis'!$F:$F,MATCH($C95,'ABC Analysis'!$A:$A,0)),""))</f>
        <v/>
      </c>
      <c r="F95">
        <f>IF($A95="","",IFERROR(INDEX('Master Inventory'!$E:$E,MATCH($C95,'Master Inventory'!$A:$A,0)),0))</f>
        <v/>
      </c>
      <c r="G95">
        <f>IF($A95="","",'Blind Count Entry'!F93)</f>
        <v/>
      </c>
      <c r="H95">
        <f>IF($A95="","",G95-F95)</f>
        <v/>
      </c>
      <c r="I95" s="17">
        <f>IF($A95="","",IF(F95=0,IF(H95=0,0,1),ABS(H95)/F95))</f>
        <v/>
      </c>
      <c r="J95" s="18">
        <f>IF($A95="","",IF($E95="A",$E$1,IF($E95="B",$G$1,$I$1)))</f>
        <v/>
      </c>
      <c r="K95">
        <f>IF($A95="","",IF(H95=0,"MATCH",IF(I95&gt;J95,"RECOUNT","WITHIN TOLERANCE")))</f>
        <v/>
      </c>
      <c r="L95" s="5" t="n"/>
      <c r="M95">
        <f>IF(OR($A95="",$L95=""),"",L95-F95)</f>
        <v/>
      </c>
      <c r="N95" s="5" t="n"/>
      <c r="O95" s="5" t="n"/>
    </row>
    <row r="96">
      <c r="A96">
        <f>IF('Blind Count Entry'!A94="","",'Blind Count Entry'!A94)</f>
        <v/>
      </c>
      <c r="B96" s="16">
        <f>IF($A96="","",'Blind Count Entry'!B94)</f>
        <v/>
      </c>
      <c r="C96">
        <f>IF($A96="","",'Blind Count Entry'!C94)</f>
        <v/>
      </c>
      <c r="D96">
        <f>IF($A96="","",'Blind Count Entry'!D94)</f>
        <v/>
      </c>
      <c r="E96">
        <f>IF($A96="","",IFERROR(INDEX('ABC Analysis'!$F:$F,MATCH($C96,'ABC Analysis'!$A:$A,0)),""))</f>
        <v/>
      </c>
      <c r="F96">
        <f>IF($A96="","",IFERROR(INDEX('Master Inventory'!$E:$E,MATCH($C96,'Master Inventory'!$A:$A,0)),0))</f>
        <v/>
      </c>
      <c r="G96">
        <f>IF($A96="","",'Blind Count Entry'!F94)</f>
        <v/>
      </c>
      <c r="H96">
        <f>IF($A96="","",G96-F96)</f>
        <v/>
      </c>
      <c r="I96" s="17">
        <f>IF($A96="","",IF(F96=0,IF(H96=0,0,1),ABS(H96)/F96))</f>
        <v/>
      </c>
      <c r="J96" s="18">
        <f>IF($A96="","",IF($E96="A",$E$1,IF($E96="B",$G$1,$I$1)))</f>
        <v/>
      </c>
      <c r="K96">
        <f>IF($A96="","",IF(H96=0,"MATCH",IF(I96&gt;J96,"RECOUNT","WITHIN TOLERANCE")))</f>
        <v/>
      </c>
      <c r="L96" s="5" t="n"/>
      <c r="M96">
        <f>IF(OR($A96="",$L96=""),"",L96-F96)</f>
        <v/>
      </c>
      <c r="N96" s="5" t="n"/>
      <c r="O96" s="5" t="n"/>
    </row>
    <row r="97">
      <c r="A97">
        <f>IF('Blind Count Entry'!A95="","",'Blind Count Entry'!A95)</f>
        <v/>
      </c>
      <c r="B97" s="16">
        <f>IF($A97="","",'Blind Count Entry'!B95)</f>
        <v/>
      </c>
      <c r="C97">
        <f>IF($A97="","",'Blind Count Entry'!C95)</f>
        <v/>
      </c>
      <c r="D97">
        <f>IF($A97="","",'Blind Count Entry'!D95)</f>
        <v/>
      </c>
      <c r="E97">
        <f>IF($A97="","",IFERROR(INDEX('ABC Analysis'!$F:$F,MATCH($C97,'ABC Analysis'!$A:$A,0)),""))</f>
        <v/>
      </c>
      <c r="F97">
        <f>IF($A97="","",IFERROR(INDEX('Master Inventory'!$E:$E,MATCH($C97,'Master Inventory'!$A:$A,0)),0))</f>
        <v/>
      </c>
      <c r="G97">
        <f>IF($A97="","",'Blind Count Entry'!F95)</f>
        <v/>
      </c>
      <c r="H97">
        <f>IF($A97="","",G97-F97)</f>
        <v/>
      </c>
      <c r="I97" s="17">
        <f>IF($A97="","",IF(F97=0,IF(H97=0,0,1),ABS(H97)/F97))</f>
        <v/>
      </c>
      <c r="J97" s="18">
        <f>IF($A97="","",IF($E97="A",$E$1,IF($E97="B",$G$1,$I$1)))</f>
        <v/>
      </c>
      <c r="K97">
        <f>IF($A97="","",IF(H97=0,"MATCH",IF(I97&gt;J97,"RECOUNT","WITHIN TOLERANCE")))</f>
        <v/>
      </c>
      <c r="L97" s="5" t="n"/>
      <c r="M97">
        <f>IF(OR($A97="",$L97=""),"",L97-F97)</f>
        <v/>
      </c>
      <c r="N97" s="5" t="n"/>
      <c r="O97" s="5" t="n"/>
    </row>
    <row r="98">
      <c r="A98">
        <f>IF('Blind Count Entry'!A96="","",'Blind Count Entry'!A96)</f>
        <v/>
      </c>
      <c r="B98" s="16">
        <f>IF($A98="","",'Blind Count Entry'!B96)</f>
        <v/>
      </c>
      <c r="C98">
        <f>IF($A98="","",'Blind Count Entry'!C96)</f>
        <v/>
      </c>
      <c r="D98">
        <f>IF($A98="","",'Blind Count Entry'!D96)</f>
        <v/>
      </c>
      <c r="E98">
        <f>IF($A98="","",IFERROR(INDEX('ABC Analysis'!$F:$F,MATCH($C98,'ABC Analysis'!$A:$A,0)),""))</f>
        <v/>
      </c>
      <c r="F98">
        <f>IF($A98="","",IFERROR(INDEX('Master Inventory'!$E:$E,MATCH($C98,'Master Inventory'!$A:$A,0)),0))</f>
        <v/>
      </c>
      <c r="G98">
        <f>IF($A98="","",'Blind Count Entry'!F96)</f>
        <v/>
      </c>
      <c r="H98">
        <f>IF($A98="","",G98-F98)</f>
        <v/>
      </c>
      <c r="I98" s="17">
        <f>IF($A98="","",IF(F98=0,IF(H98=0,0,1),ABS(H98)/F98))</f>
        <v/>
      </c>
      <c r="J98" s="18">
        <f>IF($A98="","",IF($E98="A",$E$1,IF($E98="B",$G$1,$I$1)))</f>
        <v/>
      </c>
      <c r="K98">
        <f>IF($A98="","",IF(H98=0,"MATCH",IF(I98&gt;J98,"RECOUNT","WITHIN TOLERANCE")))</f>
        <v/>
      </c>
      <c r="L98" s="5" t="n"/>
      <c r="M98">
        <f>IF(OR($A98="",$L98=""),"",L98-F98)</f>
        <v/>
      </c>
      <c r="N98" s="5" t="n"/>
      <c r="O98" s="5" t="n"/>
    </row>
    <row r="99">
      <c r="A99">
        <f>IF('Blind Count Entry'!A97="","",'Blind Count Entry'!A97)</f>
        <v/>
      </c>
      <c r="B99" s="16">
        <f>IF($A99="","",'Blind Count Entry'!B97)</f>
        <v/>
      </c>
      <c r="C99">
        <f>IF($A99="","",'Blind Count Entry'!C97)</f>
        <v/>
      </c>
      <c r="D99">
        <f>IF($A99="","",'Blind Count Entry'!D97)</f>
        <v/>
      </c>
      <c r="E99">
        <f>IF($A99="","",IFERROR(INDEX('ABC Analysis'!$F:$F,MATCH($C99,'ABC Analysis'!$A:$A,0)),""))</f>
        <v/>
      </c>
      <c r="F99">
        <f>IF($A99="","",IFERROR(INDEX('Master Inventory'!$E:$E,MATCH($C99,'Master Inventory'!$A:$A,0)),0))</f>
        <v/>
      </c>
      <c r="G99">
        <f>IF($A99="","",'Blind Count Entry'!F97)</f>
        <v/>
      </c>
      <c r="H99">
        <f>IF($A99="","",G99-F99)</f>
        <v/>
      </c>
      <c r="I99" s="17">
        <f>IF($A99="","",IF(F99=0,IF(H99=0,0,1),ABS(H99)/F99))</f>
        <v/>
      </c>
      <c r="J99" s="18">
        <f>IF($A99="","",IF($E99="A",$E$1,IF($E99="B",$G$1,$I$1)))</f>
        <v/>
      </c>
      <c r="K99">
        <f>IF($A99="","",IF(H99=0,"MATCH",IF(I99&gt;J99,"RECOUNT","WITHIN TOLERANCE")))</f>
        <v/>
      </c>
      <c r="L99" s="5" t="n"/>
      <c r="M99">
        <f>IF(OR($A99="",$L99=""),"",L99-F99)</f>
        <v/>
      </c>
      <c r="N99" s="5" t="n"/>
      <c r="O99" s="5" t="n"/>
    </row>
    <row r="100">
      <c r="A100">
        <f>IF('Blind Count Entry'!A98="","",'Blind Count Entry'!A98)</f>
        <v/>
      </c>
      <c r="B100" s="16">
        <f>IF($A100="","",'Blind Count Entry'!B98)</f>
        <v/>
      </c>
      <c r="C100">
        <f>IF($A100="","",'Blind Count Entry'!C98)</f>
        <v/>
      </c>
      <c r="D100">
        <f>IF($A100="","",'Blind Count Entry'!D98)</f>
        <v/>
      </c>
      <c r="E100">
        <f>IF($A100="","",IFERROR(INDEX('ABC Analysis'!$F:$F,MATCH($C100,'ABC Analysis'!$A:$A,0)),""))</f>
        <v/>
      </c>
      <c r="F100">
        <f>IF($A100="","",IFERROR(INDEX('Master Inventory'!$E:$E,MATCH($C100,'Master Inventory'!$A:$A,0)),0))</f>
        <v/>
      </c>
      <c r="G100">
        <f>IF($A100="","",'Blind Count Entry'!F98)</f>
        <v/>
      </c>
      <c r="H100">
        <f>IF($A100="","",G100-F100)</f>
        <v/>
      </c>
      <c r="I100" s="17">
        <f>IF($A100="","",IF(F100=0,IF(H100=0,0,1),ABS(H100)/F100))</f>
        <v/>
      </c>
      <c r="J100" s="18">
        <f>IF($A100="","",IF($E100="A",$E$1,IF($E100="B",$G$1,$I$1)))</f>
        <v/>
      </c>
      <c r="K100">
        <f>IF($A100="","",IF(H100=0,"MATCH",IF(I100&gt;J100,"RECOUNT","WITHIN TOLERANCE")))</f>
        <v/>
      </c>
      <c r="L100" s="5" t="n"/>
      <c r="M100">
        <f>IF(OR($A100="",$L100=""),"",L100-F100)</f>
        <v/>
      </c>
      <c r="N100" s="5" t="n"/>
      <c r="O100" s="5" t="n"/>
    </row>
    <row r="101">
      <c r="A101">
        <f>IF('Blind Count Entry'!A99="","",'Blind Count Entry'!A99)</f>
        <v/>
      </c>
      <c r="B101" s="16">
        <f>IF($A101="","",'Blind Count Entry'!B99)</f>
        <v/>
      </c>
      <c r="C101">
        <f>IF($A101="","",'Blind Count Entry'!C99)</f>
        <v/>
      </c>
      <c r="D101">
        <f>IF($A101="","",'Blind Count Entry'!D99)</f>
        <v/>
      </c>
      <c r="E101">
        <f>IF($A101="","",IFERROR(INDEX('ABC Analysis'!$F:$F,MATCH($C101,'ABC Analysis'!$A:$A,0)),""))</f>
        <v/>
      </c>
      <c r="F101">
        <f>IF($A101="","",IFERROR(INDEX('Master Inventory'!$E:$E,MATCH($C101,'Master Inventory'!$A:$A,0)),0))</f>
        <v/>
      </c>
      <c r="G101">
        <f>IF($A101="","",'Blind Count Entry'!F99)</f>
        <v/>
      </c>
      <c r="H101">
        <f>IF($A101="","",G101-F101)</f>
        <v/>
      </c>
      <c r="I101" s="17">
        <f>IF($A101="","",IF(F101=0,IF(H101=0,0,1),ABS(H101)/F101))</f>
        <v/>
      </c>
      <c r="J101" s="18">
        <f>IF($A101="","",IF($E101="A",$E$1,IF($E101="B",$G$1,$I$1)))</f>
        <v/>
      </c>
      <c r="K101">
        <f>IF($A101="","",IF(H101=0,"MATCH",IF(I101&gt;J101,"RECOUNT","WITHIN TOLERANCE")))</f>
        <v/>
      </c>
      <c r="L101" s="5" t="n"/>
      <c r="M101">
        <f>IF(OR($A101="",$L101=""),"",L101-F101)</f>
        <v/>
      </c>
      <c r="N101" s="5" t="n"/>
      <c r="O101" s="5" t="n"/>
    </row>
    <row r="102">
      <c r="A102">
        <f>IF('Blind Count Entry'!A100="","",'Blind Count Entry'!A100)</f>
        <v/>
      </c>
      <c r="B102" s="16">
        <f>IF($A102="","",'Blind Count Entry'!B100)</f>
        <v/>
      </c>
      <c r="C102">
        <f>IF($A102="","",'Blind Count Entry'!C100)</f>
        <v/>
      </c>
      <c r="D102">
        <f>IF($A102="","",'Blind Count Entry'!D100)</f>
        <v/>
      </c>
      <c r="E102">
        <f>IF($A102="","",IFERROR(INDEX('ABC Analysis'!$F:$F,MATCH($C102,'ABC Analysis'!$A:$A,0)),""))</f>
        <v/>
      </c>
      <c r="F102">
        <f>IF($A102="","",IFERROR(INDEX('Master Inventory'!$E:$E,MATCH($C102,'Master Inventory'!$A:$A,0)),0))</f>
        <v/>
      </c>
      <c r="G102">
        <f>IF($A102="","",'Blind Count Entry'!F100)</f>
        <v/>
      </c>
      <c r="H102">
        <f>IF($A102="","",G102-F102)</f>
        <v/>
      </c>
      <c r="I102" s="17">
        <f>IF($A102="","",IF(F102=0,IF(H102=0,0,1),ABS(H102)/F102))</f>
        <v/>
      </c>
      <c r="J102" s="18">
        <f>IF($A102="","",IF($E102="A",$E$1,IF($E102="B",$G$1,$I$1)))</f>
        <v/>
      </c>
      <c r="K102">
        <f>IF($A102="","",IF(H102=0,"MATCH",IF(I102&gt;J102,"RECOUNT","WITHIN TOLERANCE")))</f>
        <v/>
      </c>
      <c r="L102" s="5" t="n"/>
      <c r="M102">
        <f>IF(OR($A102="",$L102=""),"",L102-F102)</f>
        <v/>
      </c>
      <c r="N102" s="5" t="n"/>
      <c r="O102" s="5" t="n"/>
    </row>
    <row r="103">
      <c r="A103">
        <f>IF('Blind Count Entry'!A101="","",'Blind Count Entry'!A101)</f>
        <v/>
      </c>
      <c r="B103" s="16">
        <f>IF($A103="","",'Blind Count Entry'!B101)</f>
        <v/>
      </c>
      <c r="C103">
        <f>IF($A103="","",'Blind Count Entry'!C101)</f>
        <v/>
      </c>
      <c r="D103">
        <f>IF($A103="","",'Blind Count Entry'!D101)</f>
        <v/>
      </c>
      <c r="E103">
        <f>IF($A103="","",IFERROR(INDEX('ABC Analysis'!$F:$F,MATCH($C103,'ABC Analysis'!$A:$A,0)),""))</f>
        <v/>
      </c>
      <c r="F103">
        <f>IF($A103="","",IFERROR(INDEX('Master Inventory'!$E:$E,MATCH($C103,'Master Inventory'!$A:$A,0)),0))</f>
        <v/>
      </c>
      <c r="G103">
        <f>IF($A103="","",'Blind Count Entry'!F101)</f>
        <v/>
      </c>
      <c r="H103">
        <f>IF($A103="","",G103-F103)</f>
        <v/>
      </c>
      <c r="I103" s="17">
        <f>IF($A103="","",IF(F103=0,IF(H103=0,0,1),ABS(H103)/F103))</f>
        <v/>
      </c>
      <c r="J103" s="18">
        <f>IF($A103="","",IF($E103="A",$E$1,IF($E103="B",$G$1,$I$1)))</f>
        <v/>
      </c>
      <c r="K103">
        <f>IF($A103="","",IF(H103=0,"MATCH",IF(I103&gt;J103,"RECOUNT","WITHIN TOLERANCE")))</f>
        <v/>
      </c>
      <c r="L103" s="5" t="n"/>
      <c r="M103">
        <f>IF(OR($A103="",$L103=""),"",L103-F103)</f>
        <v/>
      </c>
      <c r="N103" s="5" t="n"/>
      <c r="O103" s="5" t="n"/>
    </row>
    <row r="104">
      <c r="A104">
        <f>IF('Blind Count Entry'!A102="","",'Blind Count Entry'!A102)</f>
        <v/>
      </c>
      <c r="B104" s="16">
        <f>IF($A104="","",'Blind Count Entry'!B102)</f>
        <v/>
      </c>
      <c r="C104">
        <f>IF($A104="","",'Blind Count Entry'!C102)</f>
        <v/>
      </c>
      <c r="D104">
        <f>IF($A104="","",'Blind Count Entry'!D102)</f>
        <v/>
      </c>
      <c r="E104">
        <f>IF($A104="","",IFERROR(INDEX('ABC Analysis'!$F:$F,MATCH($C104,'ABC Analysis'!$A:$A,0)),""))</f>
        <v/>
      </c>
      <c r="F104">
        <f>IF($A104="","",IFERROR(INDEX('Master Inventory'!$E:$E,MATCH($C104,'Master Inventory'!$A:$A,0)),0))</f>
        <v/>
      </c>
      <c r="G104">
        <f>IF($A104="","",'Blind Count Entry'!F102)</f>
        <v/>
      </c>
      <c r="H104">
        <f>IF($A104="","",G104-F104)</f>
        <v/>
      </c>
      <c r="I104" s="17">
        <f>IF($A104="","",IF(F104=0,IF(H104=0,0,1),ABS(H104)/F104))</f>
        <v/>
      </c>
      <c r="J104" s="18">
        <f>IF($A104="","",IF($E104="A",$E$1,IF($E104="B",$G$1,$I$1)))</f>
        <v/>
      </c>
      <c r="K104">
        <f>IF($A104="","",IF(H104=0,"MATCH",IF(I104&gt;J104,"RECOUNT","WITHIN TOLERANCE")))</f>
        <v/>
      </c>
      <c r="L104" s="5" t="n"/>
      <c r="M104">
        <f>IF(OR($A104="",$L104=""),"",L104-F104)</f>
        <v/>
      </c>
      <c r="N104" s="5" t="n"/>
      <c r="O104" s="5" t="n"/>
    </row>
    <row r="105">
      <c r="A105">
        <f>IF('Blind Count Entry'!A103="","",'Blind Count Entry'!A103)</f>
        <v/>
      </c>
      <c r="B105" s="16">
        <f>IF($A105="","",'Blind Count Entry'!B103)</f>
        <v/>
      </c>
      <c r="C105">
        <f>IF($A105="","",'Blind Count Entry'!C103)</f>
        <v/>
      </c>
      <c r="D105">
        <f>IF($A105="","",'Blind Count Entry'!D103)</f>
        <v/>
      </c>
      <c r="E105">
        <f>IF($A105="","",IFERROR(INDEX('ABC Analysis'!$F:$F,MATCH($C105,'ABC Analysis'!$A:$A,0)),""))</f>
        <v/>
      </c>
      <c r="F105">
        <f>IF($A105="","",IFERROR(INDEX('Master Inventory'!$E:$E,MATCH($C105,'Master Inventory'!$A:$A,0)),0))</f>
        <v/>
      </c>
      <c r="G105">
        <f>IF($A105="","",'Blind Count Entry'!F103)</f>
        <v/>
      </c>
      <c r="H105">
        <f>IF($A105="","",G105-F105)</f>
        <v/>
      </c>
      <c r="I105" s="17">
        <f>IF($A105="","",IF(F105=0,IF(H105=0,0,1),ABS(H105)/F105))</f>
        <v/>
      </c>
      <c r="J105" s="18">
        <f>IF($A105="","",IF($E105="A",$E$1,IF($E105="B",$G$1,$I$1)))</f>
        <v/>
      </c>
      <c r="K105">
        <f>IF($A105="","",IF(H105=0,"MATCH",IF(I105&gt;J105,"RECOUNT","WITHIN TOLERANCE")))</f>
        <v/>
      </c>
      <c r="L105" s="5" t="n"/>
      <c r="M105">
        <f>IF(OR($A105="",$L105=""),"",L105-F105)</f>
        <v/>
      </c>
      <c r="N105" s="5" t="n"/>
      <c r="O105" s="5" t="n"/>
    </row>
    <row r="106">
      <c r="A106">
        <f>IF('Blind Count Entry'!A104="","",'Blind Count Entry'!A104)</f>
        <v/>
      </c>
      <c r="B106" s="16">
        <f>IF($A106="","",'Blind Count Entry'!B104)</f>
        <v/>
      </c>
      <c r="C106">
        <f>IF($A106="","",'Blind Count Entry'!C104)</f>
        <v/>
      </c>
      <c r="D106">
        <f>IF($A106="","",'Blind Count Entry'!D104)</f>
        <v/>
      </c>
      <c r="E106">
        <f>IF($A106="","",IFERROR(INDEX('ABC Analysis'!$F:$F,MATCH($C106,'ABC Analysis'!$A:$A,0)),""))</f>
        <v/>
      </c>
      <c r="F106">
        <f>IF($A106="","",IFERROR(INDEX('Master Inventory'!$E:$E,MATCH($C106,'Master Inventory'!$A:$A,0)),0))</f>
        <v/>
      </c>
      <c r="G106">
        <f>IF($A106="","",'Blind Count Entry'!F104)</f>
        <v/>
      </c>
      <c r="H106">
        <f>IF($A106="","",G106-F106)</f>
        <v/>
      </c>
      <c r="I106" s="17">
        <f>IF($A106="","",IF(F106=0,IF(H106=0,0,1),ABS(H106)/F106))</f>
        <v/>
      </c>
      <c r="J106" s="18">
        <f>IF($A106="","",IF($E106="A",$E$1,IF($E106="B",$G$1,$I$1)))</f>
        <v/>
      </c>
      <c r="K106">
        <f>IF($A106="","",IF(H106=0,"MATCH",IF(I106&gt;J106,"RECOUNT","WITHIN TOLERANCE")))</f>
        <v/>
      </c>
      <c r="L106" s="5" t="n"/>
      <c r="M106">
        <f>IF(OR($A106="",$L106=""),"",L106-F106)</f>
        <v/>
      </c>
      <c r="N106" s="5" t="n"/>
      <c r="O106" s="5" t="n"/>
    </row>
    <row r="107">
      <c r="A107">
        <f>IF('Blind Count Entry'!A105="","",'Blind Count Entry'!A105)</f>
        <v/>
      </c>
      <c r="B107" s="16">
        <f>IF($A107="","",'Blind Count Entry'!B105)</f>
        <v/>
      </c>
      <c r="C107">
        <f>IF($A107="","",'Blind Count Entry'!C105)</f>
        <v/>
      </c>
      <c r="D107">
        <f>IF($A107="","",'Blind Count Entry'!D105)</f>
        <v/>
      </c>
      <c r="E107">
        <f>IF($A107="","",IFERROR(INDEX('ABC Analysis'!$F:$F,MATCH($C107,'ABC Analysis'!$A:$A,0)),""))</f>
        <v/>
      </c>
      <c r="F107">
        <f>IF($A107="","",IFERROR(INDEX('Master Inventory'!$E:$E,MATCH($C107,'Master Inventory'!$A:$A,0)),0))</f>
        <v/>
      </c>
      <c r="G107">
        <f>IF($A107="","",'Blind Count Entry'!F105)</f>
        <v/>
      </c>
      <c r="H107">
        <f>IF($A107="","",G107-F107)</f>
        <v/>
      </c>
      <c r="I107" s="17">
        <f>IF($A107="","",IF(F107=0,IF(H107=0,0,1),ABS(H107)/F107))</f>
        <v/>
      </c>
      <c r="J107" s="18">
        <f>IF($A107="","",IF($E107="A",$E$1,IF($E107="B",$G$1,$I$1)))</f>
        <v/>
      </c>
      <c r="K107">
        <f>IF($A107="","",IF(H107=0,"MATCH",IF(I107&gt;J107,"RECOUNT","WITHIN TOLERANCE")))</f>
        <v/>
      </c>
      <c r="L107" s="5" t="n"/>
      <c r="M107">
        <f>IF(OR($A107="",$L107=""),"",L107-F107)</f>
        <v/>
      </c>
      <c r="N107" s="5" t="n"/>
      <c r="O107" s="5" t="n"/>
    </row>
    <row r="108">
      <c r="A108">
        <f>IF('Blind Count Entry'!A106="","",'Blind Count Entry'!A106)</f>
        <v/>
      </c>
      <c r="B108" s="16">
        <f>IF($A108="","",'Blind Count Entry'!B106)</f>
        <v/>
      </c>
      <c r="C108">
        <f>IF($A108="","",'Blind Count Entry'!C106)</f>
        <v/>
      </c>
      <c r="D108">
        <f>IF($A108="","",'Blind Count Entry'!D106)</f>
        <v/>
      </c>
      <c r="E108">
        <f>IF($A108="","",IFERROR(INDEX('ABC Analysis'!$F:$F,MATCH($C108,'ABC Analysis'!$A:$A,0)),""))</f>
        <v/>
      </c>
      <c r="F108">
        <f>IF($A108="","",IFERROR(INDEX('Master Inventory'!$E:$E,MATCH($C108,'Master Inventory'!$A:$A,0)),0))</f>
        <v/>
      </c>
      <c r="G108">
        <f>IF($A108="","",'Blind Count Entry'!F106)</f>
        <v/>
      </c>
      <c r="H108">
        <f>IF($A108="","",G108-F108)</f>
        <v/>
      </c>
      <c r="I108" s="17">
        <f>IF($A108="","",IF(F108=0,IF(H108=0,0,1),ABS(H108)/F108))</f>
        <v/>
      </c>
      <c r="J108" s="18">
        <f>IF($A108="","",IF($E108="A",$E$1,IF($E108="B",$G$1,$I$1)))</f>
        <v/>
      </c>
      <c r="K108">
        <f>IF($A108="","",IF(H108=0,"MATCH",IF(I108&gt;J108,"RECOUNT","WITHIN TOLERANCE")))</f>
        <v/>
      </c>
      <c r="L108" s="5" t="n"/>
      <c r="M108">
        <f>IF(OR($A108="",$L108=""),"",L108-F108)</f>
        <v/>
      </c>
      <c r="N108" s="5" t="n"/>
      <c r="O108" s="5" t="n"/>
    </row>
    <row r="109">
      <c r="A109">
        <f>IF('Blind Count Entry'!A107="","",'Blind Count Entry'!A107)</f>
        <v/>
      </c>
      <c r="B109" s="16">
        <f>IF($A109="","",'Blind Count Entry'!B107)</f>
        <v/>
      </c>
      <c r="C109">
        <f>IF($A109="","",'Blind Count Entry'!C107)</f>
        <v/>
      </c>
      <c r="D109">
        <f>IF($A109="","",'Blind Count Entry'!D107)</f>
        <v/>
      </c>
      <c r="E109">
        <f>IF($A109="","",IFERROR(INDEX('ABC Analysis'!$F:$F,MATCH($C109,'ABC Analysis'!$A:$A,0)),""))</f>
        <v/>
      </c>
      <c r="F109">
        <f>IF($A109="","",IFERROR(INDEX('Master Inventory'!$E:$E,MATCH($C109,'Master Inventory'!$A:$A,0)),0))</f>
        <v/>
      </c>
      <c r="G109">
        <f>IF($A109="","",'Blind Count Entry'!F107)</f>
        <v/>
      </c>
      <c r="H109">
        <f>IF($A109="","",G109-F109)</f>
        <v/>
      </c>
      <c r="I109" s="17">
        <f>IF($A109="","",IF(F109=0,IF(H109=0,0,1),ABS(H109)/F109))</f>
        <v/>
      </c>
      <c r="J109" s="18">
        <f>IF($A109="","",IF($E109="A",$E$1,IF($E109="B",$G$1,$I$1)))</f>
        <v/>
      </c>
      <c r="K109">
        <f>IF($A109="","",IF(H109=0,"MATCH",IF(I109&gt;J109,"RECOUNT","WITHIN TOLERANCE")))</f>
        <v/>
      </c>
      <c r="L109" s="5" t="n"/>
      <c r="M109">
        <f>IF(OR($A109="",$L109=""),"",L109-F109)</f>
        <v/>
      </c>
      <c r="N109" s="5" t="n"/>
      <c r="O109" s="5" t="n"/>
    </row>
    <row r="110">
      <c r="A110">
        <f>IF('Blind Count Entry'!A108="","",'Blind Count Entry'!A108)</f>
        <v/>
      </c>
      <c r="B110" s="16">
        <f>IF($A110="","",'Blind Count Entry'!B108)</f>
        <v/>
      </c>
      <c r="C110">
        <f>IF($A110="","",'Blind Count Entry'!C108)</f>
        <v/>
      </c>
      <c r="D110">
        <f>IF($A110="","",'Blind Count Entry'!D108)</f>
        <v/>
      </c>
      <c r="E110">
        <f>IF($A110="","",IFERROR(INDEX('ABC Analysis'!$F:$F,MATCH($C110,'ABC Analysis'!$A:$A,0)),""))</f>
        <v/>
      </c>
      <c r="F110">
        <f>IF($A110="","",IFERROR(INDEX('Master Inventory'!$E:$E,MATCH($C110,'Master Inventory'!$A:$A,0)),0))</f>
        <v/>
      </c>
      <c r="G110">
        <f>IF($A110="","",'Blind Count Entry'!F108)</f>
        <v/>
      </c>
      <c r="H110">
        <f>IF($A110="","",G110-F110)</f>
        <v/>
      </c>
      <c r="I110" s="17">
        <f>IF($A110="","",IF(F110=0,IF(H110=0,0,1),ABS(H110)/F110))</f>
        <v/>
      </c>
      <c r="J110" s="18">
        <f>IF($A110="","",IF($E110="A",$E$1,IF($E110="B",$G$1,$I$1)))</f>
        <v/>
      </c>
      <c r="K110">
        <f>IF($A110="","",IF(H110=0,"MATCH",IF(I110&gt;J110,"RECOUNT","WITHIN TOLERANCE")))</f>
        <v/>
      </c>
      <c r="L110" s="5" t="n"/>
      <c r="M110">
        <f>IF(OR($A110="",$L110=""),"",L110-F110)</f>
        <v/>
      </c>
      <c r="N110" s="5" t="n"/>
      <c r="O110" s="5" t="n"/>
    </row>
    <row r="111">
      <c r="A111">
        <f>IF('Blind Count Entry'!A109="","",'Blind Count Entry'!A109)</f>
        <v/>
      </c>
      <c r="B111" s="16">
        <f>IF($A111="","",'Blind Count Entry'!B109)</f>
        <v/>
      </c>
      <c r="C111">
        <f>IF($A111="","",'Blind Count Entry'!C109)</f>
        <v/>
      </c>
      <c r="D111">
        <f>IF($A111="","",'Blind Count Entry'!D109)</f>
        <v/>
      </c>
      <c r="E111">
        <f>IF($A111="","",IFERROR(INDEX('ABC Analysis'!$F:$F,MATCH($C111,'ABC Analysis'!$A:$A,0)),""))</f>
        <v/>
      </c>
      <c r="F111">
        <f>IF($A111="","",IFERROR(INDEX('Master Inventory'!$E:$E,MATCH($C111,'Master Inventory'!$A:$A,0)),0))</f>
        <v/>
      </c>
      <c r="G111">
        <f>IF($A111="","",'Blind Count Entry'!F109)</f>
        <v/>
      </c>
      <c r="H111">
        <f>IF($A111="","",G111-F111)</f>
        <v/>
      </c>
      <c r="I111" s="17">
        <f>IF($A111="","",IF(F111=0,IF(H111=0,0,1),ABS(H111)/F111))</f>
        <v/>
      </c>
      <c r="J111" s="18">
        <f>IF($A111="","",IF($E111="A",$E$1,IF($E111="B",$G$1,$I$1)))</f>
        <v/>
      </c>
      <c r="K111">
        <f>IF($A111="","",IF(H111=0,"MATCH",IF(I111&gt;J111,"RECOUNT","WITHIN TOLERANCE")))</f>
        <v/>
      </c>
      <c r="L111" s="5" t="n"/>
      <c r="M111">
        <f>IF(OR($A111="",$L111=""),"",L111-F111)</f>
        <v/>
      </c>
      <c r="N111" s="5" t="n"/>
      <c r="O111" s="5" t="n"/>
    </row>
    <row r="112">
      <c r="A112">
        <f>IF('Blind Count Entry'!A110="","",'Blind Count Entry'!A110)</f>
        <v/>
      </c>
      <c r="B112" s="16">
        <f>IF($A112="","",'Blind Count Entry'!B110)</f>
        <v/>
      </c>
      <c r="C112">
        <f>IF($A112="","",'Blind Count Entry'!C110)</f>
        <v/>
      </c>
      <c r="D112">
        <f>IF($A112="","",'Blind Count Entry'!D110)</f>
        <v/>
      </c>
      <c r="E112">
        <f>IF($A112="","",IFERROR(INDEX('ABC Analysis'!$F:$F,MATCH($C112,'ABC Analysis'!$A:$A,0)),""))</f>
        <v/>
      </c>
      <c r="F112">
        <f>IF($A112="","",IFERROR(INDEX('Master Inventory'!$E:$E,MATCH($C112,'Master Inventory'!$A:$A,0)),0))</f>
        <v/>
      </c>
      <c r="G112">
        <f>IF($A112="","",'Blind Count Entry'!F110)</f>
        <v/>
      </c>
      <c r="H112">
        <f>IF($A112="","",G112-F112)</f>
        <v/>
      </c>
      <c r="I112" s="17">
        <f>IF($A112="","",IF(F112=0,IF(H112=0,0,1),ABS(H112)/F112))</f>
        <v/>
      </c>
      <c r="J112" s="18">
        <f>IF($A112="","",IF($E112="A",$E$1,IF($E112="B",$G$1,$I$1)))</f>
        <v/>
      </c>
      <c r="K112">
        <f>IF($A112="","",IF(H112=0,"MATCH",IF(I112&gt;J112,"RECOUNT","WITHIN TOLERANCE")))</f>
        <v/>
      </c>
      <c r="L112" s="5" t="n"/>
      <c r="M112">
        <f>IF(OR($A112="",$L112=""),"",L112-F112)</f>
        <v/>
      </c>
      <c r="N112" s="5" t="n"/>
      <c r="O112" s="5" t="n"/>
    </row>
    <row r="113">
      <c r="A113">
        <f>IF('Blind Count Entry'!A111="","",'Blind Count Entry'!A111)</f>
        <v/>
      </c>
      <c r="B113" s="16">
        <f>IF($A113="","",'Blind Count Entry'!B111)</f>
        <v/>
      </c>
      <c r="C113">
        <f>IF($A113="","",'Blind Count Entry'!C111)</f>
        <v/>
      </c>
      <c r="D113">
        <f>IF($A113="","",'Blind Count Entry'!D111)</f>
        <v/>
      </c>
      <c r="E113">
        <f>IF($A113="","",IFERROR(INDEX('ABC Analysis'!$F:$F,MATCH($C113,'ABC Analysis'!$A:$A,0)),""))</f>
        <v/>
      </c>
      <c r="F113">
        <f>IF($A113="","",IFERROR(INDEX('Master Inventory'!$E:$E,MATCH($C113,'Master Inventory'!$A:$A,0)),0))</f>
        <v/>
      </c>
      <c r="G113">
        <f>IF($A113="","",'Blind Count Entry'!F111)</f>
        <v/>
      </c>
      <c r="H113">
        <f>IF($A113="","",G113-F113)</f>
        <v/>
      </c>
      <c r="I113" s="17">
        <f>IF($A113="","",IF(F113=0,IF(H113=0,0,1),ABS(H113)/F113))</f>
        <v/>
      </c>
      <c r="J113" s="18">
        <f>IF($A113="","",IF($E113="A",$E$1,IF($E113="B",$G$1,$I$1)))</f>
        <v/>
      </c>
      <c r="K113">
        <f>IF($A113="","",IF(H113=0,"MATCH",IF(I113&gt;J113,"RECOUNT","WITHIN TOLERANCE")))</f>
        <v/>
      </c>
      <c r="L113" s="5" t="n"/>
      <c r="M113">
        <f>IF(OR($A113="",$L113=""),"",L113-F113)</f>
        <v/>
      </c>
      <c r="N113" s="5" t="n"/>
      <c r="O113" s="5" t="n"/>
    </row>
    <row r="114">
      <c r="A114">
        <f>IF('Blind Count Entry'!A112="","",'Blind Count Entry'!A112)</f>
        <v/>
      </c>
      <c r="B114" s="16">
        <f>IF($A114="","",'Blind Count Entry'!B112)</f>
        <v/>
      </c>
      <c r="C114">
        <f>IF($A114="","",'Blind Count Entry'!C112)</f>
        <v/>
      </c>
      <c r="D114">
        <f>IF($A114="","",'Blind Count Entry'!D112)</f>
        <v/>
      </c>
      <c r="E114">
        <f>IF($A114="","",IFERROR(INDEX('ABC Analysis'!$F:$F,MATCH($C114,'ABC Analysis'!$A:$A,0)),""))</f>
        <v/>
      </c>
      <c r="F114">
        <f>IF($A114="","",IFERROR(INDEX('Master Inventory'!$E:$E,MATCH($C114,'Master Inventory'!$A:$A,0)),0))</f>
        <v/>
      </c>
      <c r="G114">
        <f>IF($A114="","",'Blind Count Entry'!F112)</f>
        <v/>
      </c>
      <c r="H114">
        <f>IF($A114="","",G114-F114)</f>
        <v/>
      </c>
      <c r="I114" s="17">
        <f>IF($A114="","",IF(F114=0,IF(H114=0,0,1),ABS(H114)/F114))</f>
        <v/>
      </c>
      <c r="J114" s="18">
        <f>IF($A114="","",IF($E114="A",$E$1,IF($E114="B",$G$1,$I$1)))</f>
        <v/>
      </c>
      <c r="K114">
        <f>IF($A114="","",IF(H114=0,"MATCH",IF(I114&gt;J114,"RECOUNT","WITHIN TOLERANCE")))</f>
        <v/>
      </c>
      <c r="L114" s="5" t="n"/>
      <c r="M114">
        <f>IF(OR($A114="",$L114=""),"",L114-F114)</f>
        <v/>
      </c>
      <c r="N114" s="5" t="n"/>
      <c r="O114" s="5" t="n"/>
    </row>
    <row r="115">
      <c r="A115">
        <f>IF('Blind Count Entry'!A113="","",'Blind Count Entry'!A113)</f>
        <v/>
      </c>
      <c r="B115" s="16">
        <f>IF($A115="","",'Blind Count Entry'!B113)</f>
        <v/>
      </c>
      <c r="C115">
        <f>IF($A115="","",'Blind Count Entry'!C113)</f>
        <v/>
      </c>
      <c r="D115">
        <f>IF($A115="","",'Blind Count Entry'!D113)</f>
        <v/>
      </c>
      <c r="E115">
        <f>IF($A115="","",IFERROR(INDEX('ABC Analysis'!$F:$F,MATCH($C115,'ABC Analysis'!$A:$A,0)),""))</f>
        <v/>
      </c>
      <c r="F115">
        <f>IF($A115="","",IFERROR(INDEX('Master Inventory'!$E:$E,MATCH($C115,'Master Inventory'!$A:$A,0)),0))</f>
        <v/>
      </c>
      <c r="G115">
        <f>IF($A115="","",'Blind Count Entry'!F113)</f>
        <v/>
      </c>
      <c r="H115">
        <f>IF($A115="","",G115-F115)</f>
        <v/>
      </c>
      <c r="I115" s="17">
        <f>IF($A115="","",IF(F115=0,IF(H115=0,0,1),ABS(H115)/F115))</f>
        <v/>
      </c>
      <c r="J115" s="18">
        <f>IF($A115="","",IF($E115="A",$E$1,IF($E115="B",$G$1,$I$1)))</f>
        <v/>
      </c>
      <c r="K115">
        <f>IF($A115="","",IF(H115=0,"MATCH",IF(I115&gt;J115,"RECOUNT","WITHIN TOLERANCE")))</f>
        <v/>
      </c>
      <c r="L115" s="5" t="n"/>
      <c r="M115">
        <f>IF(OR($A115="",$L115=""),"",L115-F115)</f>
        <v/>
      </c>
      <c r="N115" s="5" t="n"/>
      <c r="O115" s="5" t="n"/>
    </row>
    <row r="116">
      <c r="A116">
        <f>IF('Blind Count Entry'!A114="","",'Blind Count Entry'!A114)</f>
        <v/>
      </c>
      <c r="B116" s="16">
        <f>IF($A116="","",'Blind Count Entry'!B114)</f>
        <v/>
      </c>
      <c r="C116">
        <f>IF($A116="","",'Blind Count Entry'!C114)</f>
        <v/>
      </c>
      <c r="D116">
        <f>IF($A116="","",'Blind Count Entry'!D114)</f>
        <v/>
      </c>
      <c r="E116">
        <f>IF($A116="","",IFERROR(INDEX('ABC Analysis'!$F:$F,MATCH($C116,'ABC Analysis'!$A:$A,0)),""))</f>
        <v/>
      </c>
      <c r="F116">
        <f>IF($A116="","",IFERROR(INDEX('Master Inventory'!$E:$E,MATCH($C116,'Master Inventory'!$A:$A,0)),0))</f>
        <v/>
      </c>
      <c r="G116">
        <f>IF($A116="","",'Blind Count Entry'!F114)</f>
        <v/>
      </c>
      <c r="H116">
        <f>IF($A116="","",G116-F116)</f>
        <v/>
      </c>
      <c r="I116" s="17">
        <f>IF($A116="","",IF(F116=0,IF(H116=0,0,1),ABS(H116)/F116))</f>
        <v/>
      </c>
      <c r="J116" s="18">
        <f>IF($A116="","",IF($E116="A",$E$1,IF($E116="B",$G$1,$I$1)))</f>
        <v/>
      </c>
      <c r="K116">
        <f>IF($A116="","",IF(H116=0,"MATCH",IF(I116&gt;J116,"RECOUNT","WITHIN TOLERANCE")))</f>
        <v/>
      </c>
      <c r="L116" s="5" t="n"/>
      <c r="M116">
        <f>IF(OR($A116="",$L116=""),"",L116-F116)</f>
        <v/>
      </c>
      <c r="N116" s="5" t="n"/>
      <c r="O116" s="5" t="n"/>
    </row>
    <row r="117">
      <c r="A117">
        <f>IF('Blind Count Entry'!A115="","",'Blind Count Entry'!A115)</f>
        <v/>
      </c>
      <c r="B117" s="16">
        <f>IF($A117="","",'Blind Count Entry'!B115)</f>
        <v/>
      </c>
      <c r="C117">
        <f>IF($A117="","",'Blind Count Entry'!C115)</f>
        <v/>
      </c>
      <c r="D117">
        <f>IF($A117="","",'Blind Count Entry'!D115)</f>
        <v/>
      </c>
      <c r="E117">
        <f>IF($A117="","",IFERROR(INDEX('ABC Analysis'!$F:$F,MATCH($C117,'ABC Analysis'!$A:$A,0)),""))</f>
        <v/>
      </c>
      <c r="F117">
        <f>IF($A117="","",IFERROR(INDEX('Master Inventory'!$E:$E,MATCH($C117,'Master Inventory'!$A:$A,0)),0))</f>
        <v/>
      </c>
      <c r="G117">
        <f>IF($A117="","",'Blind Count Entry'!F115)</f>
        <v/>
      </c>
      <c r="H117">
        <f>IF($A117="","",G117-F117)</f>
        <v/>
      </c>
      <c r="I117" s="17">
        <f>IF($A117="","",IF(F117=0,IF(H117=0,0,1),ABS(H117)/F117))</f>
        <v/>
      </c>
      <c r="J117" s="18">
        <f>IF($A117="","",IF($E117="A",$E$1,IF($E117="B",$G$1,$I$1)))</f>
        <v/>
      </c>
      <c r="K117">
        <f>IF($A117="","",IF(H117=0,"MATCH",IF(I117&gt;J117,"RECOUNT","WITHIN TOLERANCE")))</f>
        <v/>
      </c>
      <c r="L117" s="5" t="n"/>
      <c r="M117">
        <f>IF(OR($A117="",$L117=""),"",L117-F117)</f>
        <v/>
      </c>
      <c r="N117" s="5" t="n"/>
      <c r="O117" s="5" t="n"/>
    </row>
    <row r="118">
      <c r="A118">
        <f>IF('Blind Count Entry'!A116="","",'Blind Count Entry'!A116)</f>
        <v/>
      </c>
      <c r="B118" s="16">
        <f>IF($A118="","",'Blind Count Entry'!B116)</f>
        <v/>
      </c>
      <c r="C118">
        <f>IF($A118="","",'Blind Count Entry'!C116)</f>
        <v/>
      </c>
      <c r="D118">
        <f>IF($A118="","",'Blind Count Entry'!D116)</f>
        <v/>
      </c>
      <c r="E118">
        <f>IF($A118="","",IFERROR(INDEX('ABC Analysis'!$F:$F,MATCH($C118,'ABC Analysis'!$A:$A,0)),""))</f>
        <v/>
      </c>
      <c r="F118">
        <f>IF($A118="","",IFERROR(INDEX('Master Inventory'!$E:$E,MATCH($C118,'Master Inventory'!$A:$A,0)),0))</f>
        <v/>
      </c>
      <c r="G118">
        <f>IF($A118="","",'Blind Count Entry'!F116)</f>
        <v/>
      </c>
      <c r="H118">
        <f>IF($A118="","",G118-F118)</f>
        <v/>
      </c>
      <c r="I118" s="17">
        <f>IF($A118="","",IF(F118=0,IF(H118=0,0,1),ABS(H118)/F118))</f>
        <v/>
      </c>
      <c r="J118" s="18">
        <f>IF($A118="","",IF($E118="A",$E$1,IF($E118="B",$G$1,$I$1)))</f>
        <v/>
      </c>
      <c r="K118">
        <f>IF($A118="","",IF(H118=0,"MATCH",IF(I118&gt;J118,"RECOUNT","WITHIN TOLERANCE")))</f>
        <v/>
      </c>
      <c r="L118" s="5" t="n"/>
      <c r="M118">
        <f>IF(OR($A118="",$L118=""),"",L118-F118)</f>
        <v/>
      </c>
      <c r="N118" s="5" t="n"/>
      <c r="O118" s="5" t="n"/>
    </row>
    <row r="119">
      <c r="A119">
        <f>IF('Blind Count Entry'!A117="","",'Blind Count Entry'!A117)</f>
        <v/>
      </c>
      <c r="B119" s="16">
        <f>IF($A119="","",'Blind Count Entry'!B117)</f>
        <v/>
      </c>
      <c r="C119">
        <f>IF($A119="","",'Blind Count Entry'!C117)</f>
        <v/>
      </c>
      <c r="D119">
        <f>IF($A119="","",'Blind Count Entry'!D117)</f>
        <v/>
      </c>
      <c r="E119">
        <f>IF($A119="","",IFERROR(INDEX('ABC Analysis'!$F:$F,MATCH($C119,'ABC Analysis'!$A:$A,0)),""))</f>
        <v/>
      </c>
      <c r="F119">
        <f>IF($A119="","",IFERROR(INDEX('Master Inventory'!$E:$E,MATCH($C119,'Master Inventory'!$A:$A,0)),0))</f>
        <v/>
      </c>
      <c r="G119">
        <f>IF($A119="","",'Blind Count Entry'!F117)</f>
        <v/>
      </c>
      <c r="H119">
        <f>IF($A119="","",G119-F119)</f>
        <v/>
      </c>
      <c r="I119" s="17">
        <f>IF($A119="","",IF(F119=0,IF(H119=0,0,1),ABS(H119)/F119))</f>
        <v/>
      </c>
      <c r="J119" s="18">
        <f>IF($A119="","",IF($E119="A",$E$1,IF($E119="B",$G$1,$I$1)))</f>
        <v/>
      </c>
      <c r="K119">
        <f>IF($A119="","",IF(H119=0,"MATCH",IF(I119&gt;J119,"RECOUNT","WITHIN TOLERANCE")))</f>
        <v/>
      </c>
      <c r="L119" s="5" t="n"/>
      <c r="M119">
        <f>IF(OR($A119="",$L119=""),"",L119-F119)</f>
        <v/>
      </c>
      <c r="N119" s="5" t="n"/>
      <c r="O119" s="5" t="n"/>
    </row>
    <row r="120">
      <c r="A120">
        <f>IF('Blind Count Entry'!A118="","",'Blind Count Entry'!A118)</f>
        <v/>
      </c>
      <c r="B120" s="16">
        <f>IF($A120="","",'Blind Count Entry'!B118)</f>
        <v/>
      </c>
      <c r="C120">
        <f>IF($A120="","",'Blind Count Entry'!C118)</f>
        <v/>
      </c>
      <c r="D120">
        <f>IF($A120="","",'Blind Count Entry'!D118)</f>
        <v/>
      </c>
      <c r="E120">
        <f>IF($A120="","",IFERROR(INDEX('ABC Analysis'!$F:$F,MATCH($C120,'ABC Analysis'!$A:$A,0)),""))</f>
        <v/>
      </c>
      <c r="F120">
        <f>IF($A120="","",IFERROR(INDEX('Master Inventory'!$E:$E,MATCH($C120,'Master Inventory'!$A:$A,0)),0))</f>
        <v/>
      </c>
      <c r="G120">
        <f>IF($A120="","",'Blind Count Entry'!F118)</f>
        <v/>
      </c>
      <c r="H120">
        <f>IF($A120="","",G120-F120)</f>
        <v/>
      </c>
      <c r="I120" s="17">
        <f>IF($A120="","",IF(F120=0,IF(H120=0,0,1),ABS(H120)/F120))</f>
        <v/>
      </c>
      <c r="J120" s="18">
        <f>IF($A120="","",IF($E120="A",$E$1,IF($E120="B",$G$1,$I$1)))</f>
        <v/>
      </c>
      <c r="K120">
        <f>IF($A120="","",IF(H120=0,"MATCH",IF(I120&gt;J120,"RECOUNT","WITHIN TOLERANCE")))</f>
        <v/>
      </c>
      <c r="L120" s="5" t="n"/>
      <c r="M120">
        <f>IF(OR($A120="",$L120=""),"",L120-F120)</f>
        <v/>
      </c>
      <c r="N120" s="5" t="n"/>
      <c r="O120" s="5" t="n"/>
    </row>
    <row r="121">
      <c r="A121">
        <f>IF('Blind Count Entry'!A119="","",'Blind Count Entry'!A119)</f>
        <v/>
      </c>
      <c r="B121" s="16">
        <f>IF($A121="","",'Blind Count Entry'!B119)</f>
        <v/>
      </c>
      <c r="C121">
        <f>IF($A121="","",'Blind Count Entry'!C119)</f>
        <v/>
      </c>
      <c r="D121">
        <f>IF($A121="","",'Blind Count Entry'!D119)</f>
        <v/>
      </c>
      <c r="E121">
        <f>IF($A121="","",IFERROR(INDEX('ABC Analysis'!$F:$F,MATCH($C121,'ABC Analysis'!$A:$A,0)),""))</f>
        <v/>
      </c>
      <c r="F121">
        <f>IF($A121="","",IFERROR(INDEX('Master Inventory'!$E:$E,MATCH($C121,'Master Inventory'!$A:$A,0)),0))</f>
        <v/>
      </c>
      <c r="G121">
        <f>IF($A121="","",'Blind Count Entry'!F119)</f>
        <v/>
      </c>
      <c r="H121">
        <f>IF($A121="","",G121-F121)</f>
        <v/>
      </c>
      <c r="I121" s="17">
        <f>IF($A121="","",IF(F121=0,IF(H121=0,0,1),ABS(H121)/F121))</f>
        <v/>
      </c>
      <c r="J121" s="18">
        <f>IF($A121="","",IF($E121="A",$E$1,IF($E121="B",$G$1,$I$1)))</f>
        <v/>
      </c>
      <c r="K121">
        <f>IF($A121="","",IF(H121=0,"MATCH",IF(I121&gt;J121,"RECOUNT","WITHIN TOLERANCE")))</f>
        <v/>
      </c>
      <c r="L121" s="5" t="n"/>
      <c r="M121">
        <f>IF(OR($A121="",$L121=""),"",L121-F121)</f>
        <v/>
      </c>
      <c r="N121" s="5" t="n"/>
      <c r="O121" s="5" t="n"/>
    </row>
    <row r="122">
      <c r="A122">
        <f>IF('Blind Count Entry'!A120="","",'Blind Count Entry'!A120)</f>
        <v/>
      </c>
      <c r="B122" s="16">
        <f>IF($A122="","",'Blind Count Entry'!B120)</f>
        <v/>
      </c>
      <c r="C122">
        <f>IF($A122="","",'Blind Count Entry'!C120)</f>
        <v/>
      </c>
      <c r="D122">
        <f>IF($A122="","",'Blind Count Entry'!D120)</f>
        <v/>
      </c>
      <c r="E122">
        <f>IF($A122="","",IFERROR(INDEX('ABC Analysis'!$F:$F,MATCH($C122,'ABC Analysis'!$A:$A,0)),""))</f>
        <v/>
      </c>
      <c r="F122">
        <f>IF($A122="","",IFERROR(INDEX('Master Inventory'!$E:$E,MATCH($C122,'Master Inventory'!$A:$A,0)),0))</f>
        <v/>
      </c>
      <c r="G122">
        <f>IF($A122="","",'Blind Count Entry'!F120)</f>
        <v/>
      </c>
      <c r="H122">
        <f>IF($A122="","",G122-F122)</f>
        <v/>
      </c>
      <c r="I122" s="17">
        <f>IF($A122="","",IF(F122=0,IF(H122=0,0,1),ABS(H122)/F122))</f>
        <v/>
      </c>
      <c r="J122" s="18">
        <f>IF($A122="","",IF($E122="A",$E$1,IF($E122="B",$G$1,$I$1)))</f>
        <v/>
      </c>
      <c r="K122">
        <f>IF($A122="","",IF(H122=0,"MATCH",IF(I122&gt;J122,"RECOUNT","WITHIN TOLERANCE")))</f>
        <v/>
      </c>
      <c r="L122" s="5" t="n"/>
      <c r="M122">
        <f>IF(OR($A122="",$L122=""),"",L122-F122)</f>
        <v/>
      </c>
      <c r="N122" s="5" t="n"/>
      <c r="O122" s="5" t="n"/>
    </row>
    <row r="123">
      <c r="A123">
        <f>IF('Blind Count Entry'!A121="","",'Blind Count Entry'!A121)</f>
        <v/>
      </c>
      <c r="B123" s="16">
        <f>IF($A123="","",'Blind Count Entry'!B121)</f>
        <v/>
      </c>
      <c r="C123">
        <f>IF($A123="","",'Blind Count Entry'!C121)</f>
        <v/>
      </c>
      <c r="D123">
        <f>IF($A123="","",'Blind Count Entry'!D121)</f>
        <v/>
      </c>
      <c r="E123">
        <f>IF($A123="","",IFERROR(INDEX('ABC Analysis'!$F:$F,MATCH($C123,'ABC Analysis'!$A:$A,0)),""))</f>
        <v/>
      </c>
      <c r="F123">
        <f>IF($A123="","",IFERROR(INDEX('Master Inventory'!$E:$E,MATCH($C123,'Master Inventory'!$A:$A,0)),0))</f>
        <v/>
      </c>
      <c r="G123">
        <f>IF($A123="","",'Blind Count Entry'!F121)</f>
        <v/>
      </c>
      <c r="H123">
        <f>IF($A123="","",G123-F123)</f>
        <v/>
      </c>
      <c r="I123" s="17">
        <f>IF($A123="","",IF(F123=0,IF(H123=0,0,1),ABS(H123)/F123))</f>
        <v/>
      </c>
      <c r="J123" s="18">
        <f>IF($A123="","",IF($E123="A",$E$1,IF($E123="B",$G$1,$I$1)))</f>
        <v/>
      </c>
      <c r="K123">
        <f>IF($A123="","",IF(H123=0,"MATCH",IF(I123&gt;J123,"RECOUNT","WITHIN TOLERANCE")))</f>
        <v/>
      </c>
      <c r="L123" s="5" t="n"/>
      <c r="M123">
        <f>IF(OR($A123="",$L123=""),"",L123-F123)</f>
        <v/>
      </c>
      <c r="N123" s="5" t="n"/>
      <c r="O123" s="5" t="n"/>
    </row>
    <row r="124">
      <c r="A124">
        <f>IF('Blind Count Entry'!A122="","",'Blind Count Entry'!A122)</f>
        <v/>
      </c>
      <c r="B124" s="16">
        <f>IF($A124="","",'Blind Count Entry'!B122)</f>
        <v/>
      </c>
      <c r="C124">
        <f>IF($A124="","",'Blind Count Entry'!C122)</f>
        <v/>
      </c>
      <c r="D124">
        <f>IF($A124="","",'Blind Count Entry'!D122)</f>
        <v/>
      </c>
      <c r="E124">
        <f>IF($A124="","",IFERROR(INDEX('ABC Analysis'!$F:$F,MATCH($C124,'ABC Analysis'!$A:$A,0)),""))</f>
        <v/>
      </c>
      <c r="F124">
        <f>IF($A124="","",IFERROR(INDEX('Master Inventory'!$E:$E,MATCH($C124,'Master Inventory'!$A:$A,0)),0))</f>
        <v/>
      </c>
      <c r="G124">
        <f>IF($A124="","",'Blind Count Entry'!F122)</f>
        <v/>
      </c>
      <c r="H124">
        <f>IF($A124="","",G124-F124)</f>
        <v/>
      </c>
      <c r="I124" s="17">
        <f>IF($A124="","",IF(F124=0,IF(H124=0,0,1),ABS(H124)/F124))</f>
        <v/>
      </c>
      <c r="J124" s="18">
        <f>IF($A124="","",IF($E124="A",$E$1,IF($E124="B",$G$1,$I$1)))</f>
        <v/>
      </c>
      <c r="K124">
        <f>IF($A124="","",IF(H124=0,"MATCH",IF(I124&gt;J124,"RECOUNT","WITHIN TOLERANCE")))</f>
        <v/>
      </c>
      <c r="L124" s="5" t="n"/>
      <c r="M124">
        <f>IF(OR($A124="",$L124=""),"",L124-F124)</f>
        <v/>
      </c>
      <c r="N124" s="5" t="n"/>
      <c r="O124" s="5" t="n"/>
    </row>
    <row r="125">
      <c r="A125">
        <f>IF('Blind Count Entry'!A123="","",'Blind Count Entry'!A123)</f>
        <v/>
      </c>
      <c r="B125" s="16">
        <f>IF($A125="","",'Blind Count Entry'!B123)</f>
        <v/>
      </c>
      <c r="C125">
        <f>IF($A125="","",'Blind Count Entry'!C123)</f>
        <v/>
      </c>
      <c r="D125">
        <f>IF($A125="","",'Blind Count Entry'!D123)</f>
        <v/>
      </c>
      <c r="E125">
        <f>IF($A125="","",IFERROR(INDEX('ABC Analysis'!$F:$F,MATCH($C125,'ABC Analysis'!$A:$A,0)),""))</f>
        <v/>
      </c>
      <c r="F125">
        <f>IF($A125="","",IFERROR(INDEX('Master Inventory'!$E:$E,MATCH($C125,'Master Inventory'!$A:$A,0)),0))</f>
        <v/>
      </c>
      <c r="G125">
        <f>IF($A125="","",'Blind Count Entry'!F123)</f>
        <v/>
      </c>
      <c r="H125">
        <f>IF($A125="","",G125-F125)</f>
        <v/>
      </c>
      <c r="I125" s="17">
        <f>IF($A125="","",IF(F125=0,IF(H125=0,0,1),ABS(H125)/F125))</f>
        <v/>
      </c>
      <c r="J125" s="18">
        <f>IF($A125="","",IF($E125="A",$E$1,IF($E125="B",$G$1,$I$1)))</f>
        <v/>
      </c>
      <c r="K125">
        <f>IF($A125="","",IF(H125=0,"MATCH",IF(I125&gt;J125,"RECOUNT","WITHIN TOLERANCE")))</f>
        <v/>
      </c>
      <c r="L125" s="5" t="n"/>
      <c r="M125">
        <f>IF(OR($A125="",$L125=""),"",L125-F125)</f>
        <v/>
      </c>
      <c r="N125" s="5" t="n"/>
      <c r="O125" s="5" t="n"/>
    </row>
    <row r="126">
      <c r="A126">
        <f>IF('Blind Count Entry'!A124="","",'Blind Count Entry'!A124)</f>
        <v/>
      </c>
      <c r="B126" s="16">
        <f>IF($A126="","",'Blind Count Entry'!B124)</f>
        <v/>
      </c>
      <c r="C126">
        <f>IF($A126="","",'Blind Count Entry'!C124)</f>
        <v/>
      </c>
      <c r="D126">
        <f>IF($A126="","",'Blind Count Entry'!D124)</f>
        <v/>
      </c>
      <c r="E126">
        <f>IF($A126="","",IFERROR(INDEX('ABC Analysis'!$F:$F,MATCH($C126,'ABC Analysis'!$A:$A,0)),""))</f>
        <v/>
      </c>
      <c r="F126">
        <f>IF($A126="","",IFERROR(INDEX('Master Inventory'!$E:$E,MATCH($C126,'Master Inventory'!$A:$A,0)),0))</f>
        <v/>
      </c>
      <c r="G126">
        <f>IF($A126="","",'Blind Count Entry'!F124)</f>
        <v/>
      </c>
      <c r="H126">
        <f>IF($A126="","",G126-F126)</f>
        <v/>
      </c>
      <c r="I126" s="17">
        <f>IF($A126="","",IF(F126=0,IF(H126=0,0,1),ABS(H126)/F126))</f>
        <v/>
      </c>
      <c r="J126" s="18">
        <f>IF($A126="","",IF($E126="A",$E$1,IF($E126="B",$G$1,$I$1)))</f>
        <v/>
      </c>
      <c r="K126">
        <f>IF($A126="","",IF(H126=0,"MATCH",IF(I126&gt;J126,"RECOUNT","WITHIN TOLERANCE")))</f>
        <v/>
      </c>
      <c r="L126" s="5" t="n"/>
      <c r="M126">
        <f>IF(OR($A126="",$L126=""),"",L126-F126)</f>
        <v/>
      </c>
      <c r="N126" s="5" t="n"/>
      <c r="O126" s="5" t="n"/>
    </row>
    <row r="127">
      <c r="A127">
        <f>IF('Blind Count Entry'!A125="","",'Blind Count Entry'!A125)</f>
        <v/>
      </c>
      <c r="B127" s="16">
        <f>IF($A127="","",'Blind Count Entry'!B125)</f>
        <v/>
      </c>
      <c r="C127">
        <f>IF($A127="","",'Blind Count Entry'!C125)</f>
        <v/>
      </c>
      <c r="D127">
        <f>IF($A127="","",'Blind Count Entry'!D125)</f>
        <v/>
      </c>
      <c r="E127">
        <f>IF($A127="","",IFERROR(INDEX('ABC Analysis'!$F:$F,MATCH($C127,'ABC Analysis'!$A:$A,0)),""))</f>
        <v/>
      </c>
      <c r="F127">
        <f>IF($A127="","",IFERROR(INDEX('Master Inventory'!$E:$E,MATCH($C127,'Master Inventory'!$A:$A,0)),0))</f>
        <v/>
      </c>
      <c r="G127">
        <f>IF($A127="","",'Blind Count Entry'!F125)</f>
        <v/>
      </c>
      <c r="H127">
        <f>IF($A127="","",G127-F127)</f>
        <v/>
      </c>
      <c r="I127" s="17">
        <f>IF($A127="","",IF(F127=0,IF(H127=0,0,1),ABS(H127)/F127))</f>
        <v/>
      </c>
      <c r="J127" s="18">
        <f>IF($A127="","",IF($E127="A",$E$1,IF($E127="B",$G$1,$I$1)))</f>
        <v/>
      </c>
      <c r="K127">
        <f>IF($A127="","",IF(H127=0,"MATCH",IF(I127&gt;J127,"RECOUNT","WITHIN TOLERANCE")))</f>
        <v/>
      </c>
      <c r="L127" s="5" t="n"/>
      <c r="M127">
        <f>IF(OR($A127="",$L127=""),"",L127-F127)</f>
        <v/>
      </c>
      <c r="N127" s="5" t="n"/>
      <c r="O127" s="5" t="n"/>
    </row>
    <row r="128">
      <c r="A128">
        <f>IF('Blind Count Entry'!A126="","",'Blind Count Entry'!A126)</f>
        <v/>
      </c>
      <c r="B128" s="16">
        <f>IF($A128="","",'Blind Count Entry'!B126)</f>
        <v/>
      </c>
      <c r="C128">
        <f>IF($A128="","",'Blind Count Entry'!C126)</f>
        <v/>
      </c>
      <c r="D128">
        <f>IF($A128="","",'Blind Count Entry'!D126)</f>
        <v/>
      </c>
      <c r="E128">
        <f>IF($A128="","",IFERROR(INDEX('ABC Analysis'!$F:$F,MATCH($C128,'ABC Analysis'!$A:$A,0)),""))</f>
        <v/>
      </c>
      <c r="F128">
        <f>IF($A128="","",IFERROR(INDEX('Master Inventory'!$E:$E,MATCH($C128,'Master Inventory'!$A:$A,0)),0))</f>
        <v/>
      </c>
      <c r="G128">
        <f>IF($A128="","",'Blind Count Entry'!F126)</f>
        <v/>
      </c>
      <c r="H128">
        <f>IF($A128="","",G128-F128)</f>
        <v/>
      </c>
      <c r="I128" s="17">
        <f>IF($A128="","",IF(F128=0,IF(H128=0,0,1),ABS(H128)/F128))</f>
        <v/>
      </c>
      <c r="J128" s="18">
        <f>IF($A128="","",IF($E128="A",$E$1,IF($E128="B",$G$1,$I$1)))</f>
        <v/>
      </c>
      <c r="K128">
        <f>IF($A128="","",IF(H128=0,"MATCH",IF(I128&gt;J128,"RECOUNT","WITHIN TOLERANCE")))</f>
        <v/>
      </c>
      <c r="L128" s="5" t="n"/>
      <c r="M128">
        <f>IF(OR($A128="",$L128=""),"",L128-F128)</f>
        <v/>
      </c>
      <c r="N128" s="5" t="n"/>
      <c r="O128" s="5" t="n"/>
    </row>
    <row r="129">
      <c r="A129">
        <f>IF('Blind Count Entry'!A127="","",'Blind Count Entry'!A127)</f>
        <v/>
      </c>
      <c r="B129" s="16">
        <f>IF($A129="","",'Blind Count Entry'!B127)</f>
        <v/>
      </c>
      <c r="C129">
        <f>IF($A129="","",'Blind Count Entry'!C127)</f>
        <v/>
      </c>
      <c r="D129">
        <f>IF($A129="","",'Blind Count Entry'!D127)</f>
        <v/>
      </c>
      <c r="E129">
        <f>IF($A129="","",IFERROR(INDEX('ABC Analysis'!$F:$F,MATCH($C129,'ABC Analysis'!$A:$A,0)),""))</f>
        <v/>
      </c>
      <c r="F129">
        <f>IF($A129="","",IFERROR(INDEX('Master Inventory'!$E:$E,MATCH($C129,'Master Inventory'!$A:$A,0)),0))</f>
        <v/>
      </c>
      <c r="G129">
        <f>IF($A129="","",'Blind Count Entry'!F127)</f>
        <v/>
      </c>
      <c r="H129">
        <f>IF($A129="","",G129-F129)</f>
        <v/>
      </c>
      <c r="I129" s="17">
        <f>IF($A129="","",IF(F129=0,IF(H129=0,0,1),ABS(H129)/F129))</f>
        <v/>
      </c>
      <c r="J129" s="18">
        <f>IF($A129="","",IF($E129="A",$E$1,IF($E129="B",$G$1,$I$1)))</f>
        <v/>
      </c>
      <c r="K129">
        <f>IF($A129="","",IF(H129=0,"MATCH",IF(I129&gt;J129,"RECOUNT","WITHIN TOLERANCE")))</f>
        <v/>
      </c>
      <c r="L129" s="5" t="n"/>
      <c r="M129">
        <f>IF(OR($A129="",$L129=""),"",L129-F129)</f>
        <v/>
      </c>
      <c r="N129" s="5" t="n"/>
      <c r="O129" s="5" t="n"/>
    </row>
    <row r="130">
      <c r="A130">
        <f>IF('Blind Count Entry'!A128="","",'Blind Count Entry'!A128)</f>
        <v/>
      </c>
      <c r="B130" s="16">
        <f>IF($A130="","",'Blind Count Entry'!B128)</f>
        <v/>
      </c>
      <c r="C130">
        <f>IF($A130="","",'Blind Count Entry'!C128)</f>
        <v/>
      </c>
      <c r="D130">
        <f>IF($A130="","",'Blind Count Entry'!D128)</f>
        <v/>
      </c>
      <c r="E130">
        <f>IF($A130="","",IFERROR(INDEX('ABC Analysis'!$F:$F,MATCH($C130,'ABC Analysis'!$A:$A,0)),""))</f>
        <v/>
      </c>
      <c r="F130">
        <f>IF($A130="","",IFERROR(INDEX('Master Inventory'!$E:$E,MATCH($C130,'Master Inventory'!$A:$A,0)),0))</f>
        <v/>
      </c>
      <c r="G130">
        <f>IF($A130="","",'Blind Count Entry'!F128)</f>
        <v/>
      </c>
      <c r="H130">
        <f>IF($A130="","",G130-F130)</f>
        <v/>
      </c>
      <c r="I130" s="17">
        <f>IF($A130="","",IF(F130=0,IF(H130=0,0,1),ABS(H130)/F130))</f>
        <v/>
      </c>
      <c r="J130" s="18">
        <f>IF($A130="","",IF($E130="A",$E$1,IF($E130="B",$G$1,$I$1)))</f>
        <v/>
      </c>
      <c r="K130">
        <f>IF($A130="","",IF(H130=0,"MATCH",IF(I130&gt;J130,"RECOUNT","WITHIN TOLERANCE")))</f>
        <v/>
      </c>
      <c r="L130" s="5" t="n"/>
      <c r="M130">
        <f>IF(OR($A130="",$L130=""),"",L130-F130)</f>
        <v/>
      </c>
      <c r="N130" s="5" t="n"/>
      <c r="O130" s="5" t="n"/>
    </row>
    <row r="131">
      <c r="A131">
        <f>IF('Blind Count Entry'!A129="","",'Blind Count Entry'!A129)</f>
        <v/>
      </c>
      <c r="B131" s="16">
        <f>IF($A131="","",'Blind Count Entry'!B129)</f>
        <v/>
      </c>
      <c r="C131">
        <f>IF($A131="","",'Blind Count Entry'!C129)</f>
        <v/>
      </c>
      <c r="D131">
        <f>IF($A131="","",'Blind Count Entry'!D129)</f>
        <v/>
      </c>
      <c r="E131">
        <f>IF($A131="","",IFERROR(INDEX('ABC Analysis'!$F:$F,MATCH($C131,'ABC Analysis'!$A:$A,0)),""))</f>
        <v/>
      </c>
      <c r="F131">
        <f>IF($A131="","",IFERROR(INDEX('Master Inventory'!$E:$E,MATCH($C131,'Master Inventory'!$A:$A,0)),0))</f>
        <v/>
      </c>
      <c r="G131">
        <f>IF($A131="","",'Blind Count Entry'!F129)</f>
        <v/>
      </c>
      <c r="H131">
        <f>IF($A131="","",G131-F131)</f>
        <v/>
      </c>
      <c r="I131" s="17">
        <f>IF($A131="","",IF(F131=0,IF(H131=0,0,1),ABS(H131)/F131))</f>
        <v/>
      </c>
      <c r="J131" s="18">
        <f>IF($A131="","",IF($E131="A",$E$1,IF($E131="B",$G$1,$I$1)))</f>
        <v/>
      </c>
      <c r="K131">
        <f>IF($A131="","",IF(H131=0,"MATCH",IF(I131&gt;J131,"RECOUNT","WITHIN TOLERANCE")))</f>
        <v/>
      </c>
      <c r="L131" s="5" t="n"/>
      <c r="M131">
        <f>IF(OR($A131="",$L131=""),"",L131-F131)</f>
        <v/>
      </c>
      <c r="N131" s="5" t="n"/>
      <c r="O131" s="5" t="n"/>
    </row>
    <row r="132">
      <c r="A132">
        <f>IF('Blind Count Entry'!A130="","",'Blind Count Entry'!A130)</f>
        <v/>
      </c>
      <c r="B132" s="16">
        <f>IF($A132="","",'Blind Count Entry'!B130)</f>
        <v/>
      </c>
      <c r="C132">
        <f>IF($A132="","",'Blind Count Entry'!C130)</f>
        <v/>
      </c>
      <c r="D132">
        <f>IF($A132="","",'Blind Count Entry'!D130)</f>
        <v/>
      </c>
      <c r="E132">
        <f>IF($A132="","",IFERROR(INDEX('ABC Analysis'!$F:$F,MATCH($C132,'ABC Analysis'!$A:$A,0)),""))</f>
        <v/>
      </c>
      <c r="F132">
        <f>IF($A132="","",IFERROR(INDEX('Master Inventory'!$E:$E,MATCH($C132,'Master Inventory'!$A:$A,0)),0))</f>
        <v/>
      </c>
      <c r="G132">
        <f>IF($A132="","",'Blind Count Entry'!F130)</f>
        <v/>
      </c>
      <c r="H132">
        <f>IF($A132="","",G132-F132)</f>
        <v/>
      </c>
      <c r="I132" s="17">
        <f>IF($A132="","",IF(F132=0,IF(H132=0,0,1),ABS(H132)/F132))</f>
        <v/>
      </c>
      <c r="J132" s="18">
        <f>IF($A132="","",IF($E132="A",$E$1,IF($E132="B",$G$1,$I$1)))</f>
        <v/>
      </c>
      <c r="K132">
        <f>IF($A132="","",IF(H132=0,"MATCH",IF(I132&gt;J132,"RECOUNT","WITHIN TOLERANCE")))</f>
        <v/>
      </c>
      <c r="L132" s="5" t="n"/>
      <c r="M132">
        <f>IF(OR($A132="",$L132=""),"",L132-F132)</f>
        <v/>
      </c>
      <c r="N132" s="5" t="n"/>
      <c r="O132" s="5" t="n"/>
    </row>
    <row r="133">
      <c r="A133">
        <f>IF('Blind Count Entry'!A131="","",'Blind Count Entry'!A131)</f>
        <v/>
      </c>
      <c r="B133" s="16">
        <f>IF($A133="","",'Blind Count Entry'!B131)</f>
        <v/>
      </c>
      <c r="C133">
        <f>IF($A133="","",'Blind Count Entry'!C131)</f>
        <v/>
      </c>
      <c r="D133">
        <f>IF($A133="","",'Blind Count Entry'!D131)</f>
        <v/>
      </c>
      <c r="E133">
        <f>IF($A133="","",IFERROR(INDEX('ABC Analysis'!$F:$F,MATCH($C133,'ABC Analysis'!$A:$A,0)),""))</f>
        <v/>
      </c>
      <c r="F133">
        <f>IF($A133="","",IFERROR(INDEX('Master Inventory'!$E:$E,MATCH($C133,'Master Inventory'!$A:$A,0)),0))</f>
        <v/>
      </c>
      <c r="G133">
        <f>IF($A133="","",'Blind Count Entry'!F131)</f>
        <v/>
      </c>
      <c r="H133">
        <f>IF($A133="","",G133-F133)</f>
        <v/>
      </c>
      <c r="I133" s="17">
        <f>IF($A133="","",IF(F133=0,IF(H133=0,0,1),ABS(H133)/F133))</f>
        <v/>
      </c>
      <c r="J133" s="18">
        <f>IF($A133="","",IF($E133="A",$E$1,IF($E133="B",$G$1,$I$1)))</f>
        <v/>
      </c>
      <c r="K133">
        <f>IF($A133="","",IF(H133=0,"MATCH",IF(I133&gt;J133,"RECOUNT","WITHIN TOLERANCE")))</f>
        <v/>
      </c>
      <c r="L133" s="5" t="n"/>
      <c r="M133">
        <f>IF(OR($A133="",$L133=""),"",L133-F133)</f>
        <v/>
      </c>
      <c r="N133" s="5" t="n"/>
      <c r="O133" s="5" t="n"/>
    </row>
    <row r="134">
      <c r="A134">
        <f>IF('Blind Count Entry'!A132="","",'Blind Count Entry'!A132)</f>
        <v/>
      </c>
      <c r="B134" s="16">
        <f>IF($A134="","",'Blind Count Entry'!B132)</f>
        <v/>
      </c>
      <c r="C134">
        <f>IF($A134="","",'Blind Count Entry'!C132)</f>
        <v/>
      </c>
      <c r="D134">
        <f>IF($A134="","",'Blind Count Entry'!D132)</f>
        <v/>
      </c>
      <c r="E134">
        <f>IF($A134="","",IFERROR(INDEX('ABC Analysis'!$F:$F,MATCH($C134,'ABC Analysis'!$A:$A,0)),""))</f>
        <v/>
      </c>
      <c r="F134">
        <f>IF($A134="","",IFERROR(INDEX('Master Inventory'!$E:$E,MATCH($C134,'Master Inventory'!$A:$A,0)),0))</f>
        <v/>
      </c>
      <c r="G134">
        <f>IF($A134="","",'Blind Count Entry'!F132)</f>
        <v/>
      </c>
      <c r="H134">
        <f>IF($A134="","",G134-F134)</f>
        <v/>
      </c>
      <c r="I134" s="17">
        <f>IF($A134="","",IF(F134=0,IF(H134=0,0,1),ABS(H134)/F134))</f>
        <v/>
      </c>
      <c r="J134" s="18">
        <f>IF($A134="","",IF($E134="A",$E$1,IF($E134="B",$G$1,$I$1)))</f>
        <v/>
      </c>
      <c r="K134">
        <f>IF($A134="","",IF(H134=0,"MATCH",IF(I134&gt;J134,"RECOUNT","WITHIN TOLERANCE")))</f>
        <v/>
      </c>
      <c r="L134" s="5" t="n"/>
      <c r="M134">
        <f>IF(OR($A134="",$L134=""),"",L134-F134)</f>
        <v/>
      </c>
      <c r="N134" s="5" t="n"/>
      <c r="O134" s="5" t="n"/>
    </row>
    <row r="135">
      <c r="A135">
        <f>IF('Blind Count Entry'!A133="","",'Blind Count Entry'!A133)</f>
        <v/>
      </c>
      <c r="B135" s="16">
        <f>IF($A135="","",'Blind Count Entry'!B133)</f>
        <v/>
      </c>
      <c r="C135">
        <f>IF($A135="","",'Blind Count Entry'!C133)</f>
        <v/>
      </c>
      <c r="D135">
        <f>IF($A135="","",'Blind Count Entry'!D133)</f>
        <v/>
      </c>
      <c r="E135">
        <f>IF($A135="","",IFERROR(INDEX('ABC Analysis'!$F:$F,MATCH($C135,'ABC Analysis'!$A:$A,0)),""))</f>
        <v/>
      </c>
      <c r="F135">
        <f>IF($A135="","",IFERROR(INDEX('Master Inventory'!$E:$E,MATCH($C135,'Master Inventory'!$A:$A,0)),0))</f>
        <v/>
      </c>
      <c r="G135">
        <f>IF($A135="","",'Blind Count Entry'!F133)</f>
        <v/>
      </c>
      <c r="H135">
        <f>IF($A135="","",G135-F135)</f>
        <v/>
      </c>
      <c r="I135" s="17">
        <f>IF($A135="","",IF(F135=0,IF(H135=0,0,1),ABS(H135)/F135))</f>
        <v/>
      </c>
      <c r="J135" s="18">
        <f>IF($A135="","",IF($E135="A",$E$1,IF($E135="B",$G$1,$I$1)))</f>
        <v/>
      </c>
      <c r="K135">
        <f>IF($A135="","",IF(H135=0,"MATCH",IF(I135&gt;J135,"RECOUNT","WITHIN TOLERANCE")))</f>
        <v/>
      </c>
      <c r="L135" s="5" t="n"/>
      <c r="M135">
        <f>IF(OR($A135="",$L135=""),"",L135-F135)</f>
        <v/>
      </c>
      <c r="N135" s="5" t="n"/>
      <c r="O135" s="5" t="n"/>
    </row>
    <row r="136">
      <c r="A136">
        <f>IF('Blind Count Entry'!A134="","",'Blind Count Entry'!A134)</f>
        <v/>
      </c>
      <c r="B136" s="16">
        <f>IF($A136="","",'Blind Count Entry'!B134)</f>
        <v/>
      </c>
      <c r="C136">
        <f>IF($A136="","",'Blind Count Entry'!C134)</f>
        <v/>
      </c>
      <c r="D136">
        <f>IF($A136="","",'Blind Count Entry'!D134)</f>
        <v/>
      </c>
      <c r="E136">
        <f>IF($A136="","",IFERROR(INDEX('ABC Analysis'!$F:$F,MATCH($C136,'ABC Analysis'!$A:$A,0)),""))</f>
        <v/>
      </c>
      <c r="F136">
        <f>IF($A136="","",IFERROR(INDEX('Master Inventory'!$E:$E,MATCH($C136,'Master Inventory'!$A:$A,0)),0))</f>
        <v/>
      </c>
      <c r="G136">
        <f>IF($A136="","",'Blind Count Entry'!F134)</f>
        <v/>
      </c>
      <c r="H136">
        <f>IF($A136="","",G136-F136)</f>
        <v/>
      </c>
      <c r="I136" s="17">
        <f>IF($A136="","",IF(F136=0,IF(H136=0,0,1),ABS(H136)/F136))</f>
        <v/>
      </c>
      <c r="J136" s="18">
        <f>IF($A136="","",IF($E136="A",$E$1,IF($E136="B",$G$1,$I$1)))</f>
        <v/>
      </c>
      <c r="K136">
        <f>IF($A136="","",IF(H136=0,"MATCH",IF(I136&gt;J136,"RECOUNT","WITHIN TOLERANCE")))</f>
        <v/>
      </c>
      <c r="L136" s="5" t="n"/>
      <c r="M136">
        <f>IF(OR($A136="",$L136=""),"",L136-F136)</f>
        <v/>
      </c>
      <c r="N136" s="5" t="n"/>
      <c r="O136" s="5" t="n"/>
    </row>
    <row r="137">
      <c r="A137">
        <f>IF('Blind Count Entry'!A135="","",'Blind Count Entry'!A135)</f>
        <v/>
      </c>
      <c r="B137" s="16">
        <f>IF($A137="","",'Blind Count Entry'!B135)</f>
        <v/>
      </c>
      <c r="C137">
        <f>IF($A137="","",'Blind Count Entry'!C135)</f>
        <v/>
      </c>
      <c r="D137">
        <f>IF($A137="","",'Blind Count Entry'!D135)</f>
        <v/>
      </c>
      <c r="E137">
        <f>IF($A137="","",IFERROR(INDEX('ABC Analysis'!$F:$F,MATCH($C137,'ABC Analysis'!$A:$A,0)),""))</f>
        <v/>
      </c>
      <c r="F137">
        <f>IF($A137="","",IFERROR(INDEX('Master Inventory'!$E:$E,MATCH($C137,'Master Inventory'!$A:$A,0)),0))</f>
        <v/>
      </c>
      <c r="G137">
        <f>IF($A137="","",'Blind Count Entry'!F135)</f>
        <v/>
      </c>
      <c r="H137">
        <f>IF($A137="","",G137-F137)</f>
        <v/>
      </c>
      <c r="I137" s="17">
        <f>IF($A137="","",IF(F137=0,IF(H137=0,0,1),ABS(H137)/F137))</f>
        <v/>
      </c>
      <c r="J137" s="18">
        <f>IF($A137="","",IF($E137="A",$E$1,IF($E137="B",$G$1,$I$1)))</f>
        <v/>
      </c>
      <c r="K137">
        <f>IF($A137="","",IF(H137=0,"MATCH",IF(I137&gt;J137,"RECOUNT","WITHIN TOLERANCE")))</f>
        <v/>
      </c>
      <c r="L137" s="5" t="n"/>
      <c r="M137">
        <f>IF(OR($A137="",$L137=""),"",L137-F137)</f>
        <v/>
      </c>
      <c r="N137" s="5" t="n"/>
      <c r="O137" s="5" t="n"/>
    </row>
    <row r="138">
      <c r="A138">
        <f>IF('Blind Count Entry'!A136="","",'Blind Count Entry'!A136)</f>
        <v/>
      </c>
      <c r="B138" s="16">
        <f>IF($A138="","",'Blind Count Entry'!B136)</f>
        <v/>
      </c>
      <c r="C138">
        <f>IF($A138="","",'Blind Count Entry'!C136)</f>
        <v/>
      </c>
      <c r="D138">
        <f>IF($A138="","",'Blind Count Entry'!D136)</f>
        <v/>
      </c>
      <c r="E138">
        <f>IF($A138="","",IFERROR(INDEX('ABC Analysis'!$F:$F,MATCH($C138,'ABC Analysis'!$A:$A,0)),""))</f>
        <v/>
      </c>
      <c r="F138">
        <f>IF($A138="","",IFERROR(INDEX('Master Inventory'!$E:$E,MATCH($C138,'Master Inventory'!$A:$A,0)),0))</f>
        <v/>
      </c>
      <c r="G138">
        <f>IF($A138="","",'Blind Count Entry'!F136)</f>
        <v/>
      </c>
      <c r="H138">
        <f>IF($A138="","",G138-F138)</f>
        <v/>
      </c>
      <c r="I138" s="17">
        <f>IF($A138="","",IF(F138=0,IF(H138=0,0,1),ABS(H138)/F138))</f>
        <v/>
      </c>
      <c r="J138" s="18">
        <f>IF($A138="","",IF($E138="A",$E$1,IF($E138="B",$G$1,$I$1)))</f>
        <v/>
      </c>
      <c r="K138">
        <f>IF($A138="","",IF(H138=0,"MATCH",IF(I138&gt;J138,"RECOUNT","WITHIN TOLERANCE")))</f>
        <v/>
      </c>
      <c r="L138" s="5" t="n"/>
      <c r="M138">
        <f>IF(OR($A138="",$L138=""),"",L138-F138)</f>
        <v/>
      </c>
      <c r="N138" s="5" t="n"/>
      <c r="O138" s="5" t="n"/>
    </row>
    <row r="139">
      <c r="A139">
        <f>IF('Blind Count Entry'!A137="","",'Blind Count Entry'!A137)</f>
        <v/>
      </c>
      <c r="B139" s="16">
        <f>IF($A139="","",'Blind Count Entry'!B137)</f>
        <v/>
      </c>
      <c r="C139">
        <f>IF($A139="","",'Blind Count Entry'!C137)</f>
        <v/>
      </c>
      <c r="D139">
        <f>IF($A139="","",'Blind Count Entry'!D137)</f>
        <v/>
      </c>
      <c r="E139">
        <f>IF($A139="","",IFERROR(INDEX('ABC Analysis'!$F:$F,MATCH($C139,'ABC Analysis'!$A:$A,0)),""))</f>
        <v/>
      </c>
      <c r="F139">
        <f>IF($A139="","",IFERROR(INDEX('Master Inventory'!$E:$E,MATCH($C139,'Master Inventory'!$A:$A,0)),0))</f>
        <v/>
      </c>
      <c r="G139">
        <f>IF($A139="","",'Blind Count Entry'!F137)</f>
        <v/>
      </c>
      <c r="H139">
        <f>IF($A139="","",G139-F139)</f>
        <v/>
      </c>
      <c r="I139" s="17">
        <f>IF($A139="","",IF(F139=0,IF(H139=0,0,1),ABS(H139)/F139))</f>
        <v/>
      </c>
      <c r="J139" s="18">
        <f>IF($A139="","",IF($E139="A",$E$1,IF($E139="B",$G$1,$I$1)))</f>
        <v/>
      </c>
      <c r="K139">
        <f>IF($A139="","",IF(H139=0,"MATCH",IF(I139&gt;J139,"RECOUNT","WITHIN TOLERANCE")))</f>
        <v/>
      </c>
      <c r="L139" s="5" t="n"/>
      <c r="M139">
        <f>IF(OR($A139="",$L139=""),"",L139-F139)</f>
        <v/>
      </c>
      <c r="N139" s="5" t="n"/>
      <c r="O139" s="5" t="n"/>
    </row>
    <row r="140">
      <c r="A140">
        <f>IF('Blind Count Entry'!A138="","",'Blind Count Entry'!A138)</f>
        <v/>
      </c>
      <c r="B140" s="16">
        <f>IF($A140="","",'Blind Count Entry'!B138)</f>
        <v/>
      </c>
      <c r="C140">
        <f>IF($A140="","",'Blind Count Entry'!C138)</f>
        <v/>
      </c>
      <c r="D140">
        <f>IF($A140="","",'Blind Count Entry'!D138)</f>
        <v/>
      </c>
      <c r="E140">
        <f>IF($A140="","",IFERROR(INDEX('ABC Analysis'!$F:$F,MATCH($C140,'ABC Analysis'!$A:$A,0)),""))</f>
        <v/>
      </c>
      <c r="F140">
        <f>IF($A140="","",IFERROR(INDEX('Master Inventory'!$E:$E,MATCH($C140,'Master Inventory'!$A:$A,0)),0))</f>
        <v/>
      </c>
      <c r="G140">
        <f>IF($A140="","",'Blind Count Entry'!F138)</f>
        <v/>
      </c>
      <c r="H140">
        <f>IF($A140="","",G140-F140)</f>
        <v/>
      </c>
      <c r="I140" s="17">
        <f>IF($A140="","",IF(F140=0,IF(H140=0,0,1),ABS(H140)/F140))</f>
        <v/>
      </c>
      <c r="J140" s="18">
        <f>IF($A140="","",IF($E140="A",$E$1,IF($E140="B",$G$1,$I$1)))</f>
        <v/>
      </c>
      <c r="K140">
        <f>IF($A140="","",IF(H140=0,"MATCH",IF(I140&gt;J140,"RECOUNT","WITHIN TOLERANCE")))</f>
        <v/>
      </c>
      <c r="L140" s="5" t="n"/>
      <c r="M140">
        <f>IF(OR($A140="",$L140=""),"",L140-F140)</f>
        <v/>
      </c>
      <c r="N140" s="5" t="n"/>
      <c r="O140" s="5" t="n"/>
    </row>
    <row r="141">
      <c r="A141">
        <f>IF('Blind Count Entry'!A139="","",'Blind Count Entry'!A139)</f>
        <v/>
      </c>
      <c r="B141" s="16">
        <f>IF($A141="","",'Blind Count Entry'!B139)</f>
        <v/>
      </c>
      <c r="C141">
        <f>IF($A141="","",'Blind Count Entry'!C139)</f>
        <v/>
      </c>
      <c r="D141">
        <f>IF($A141="","",'Blind Count Entry'!D139)</f>
        <v/>
      </c>
      <c r="E141">
        <f>IF($A141="","",IFERROR(INDEX('ABC Analysis'!$F:$F,MATCH($C141,'ABC Analysis'!$A:$A,0)),""))</f>
        <v/>
      </c>
      <c r="F141">
        <f>IF($A141="","",IFERROR(INDEX('Master Inventory'!$E:$E,MATCH($C141,'Master Inventory'!$A:$A,0)),0))</f>
        <v/>
      </c>
      <c r="G141">
        <f>IF($A141="","",'Blind Count Entry'!F139)</f>
        <v/>
      </c>
      <c r="H141">
        <f>IF($A141="","",G141-F141)</f>
        <v/>
      </c>
      <c r="I141" s="17">
        <f>IF($A141="","",IF(F141=0,IF(H141=0,0,1),ABS(H141)/F141))</f>
        <v/>
      </c>
      <c r="J141" s="18">
        <f>IF($A141="","",IF($E141="A",$E$1,IF($E141="B",$G$1,$I$1)))</f>
        <v/>
      </c>
      <c r="K141">
        <f>IF($A141="","",IF(H141=0,"MATCH",IF(I141&gt;J141,"RECOUNT","WITHIN TOLERANCE")))</f>
        <v/>
      </c>
      <c r="L141" s="5" t="n"/>
      <c r="M141">
        <f>IF(OR($A141="",$L141=""),"",L141-F141)</f>
        <v/>
      </c>
      <c r="N141" s="5" t="n"/>
      <c r="O141" s="5" t="n"/>
    </row>
    <row r="142">
      <c r="A142">
        <f>IF('Blind Count Entry'!A140="","",'Blind Count Entry'!A140)</f>
        <v/>
      </c>
      <c r="B142" s="16">
        <f>IF($A142="","",'Blind Count Entry'!B140)</f>
        <v/>
      </c>
      <c r="C142">
        <f>IF($A142="","",'Blind Count Entry'!C140)</f>
        <v/>
      </c>
      <c r="D142">
        <f>IF($A142="","",'Blind Count Entry'!D140)</f>
        <v/>
      </c>
      <c r="E142">
        <f>IF($A142="","",IFERROR(INDEX('ABC Analysis'!$F:$F,MATCH($C142,'ABC Analysis'!$A:$A,0)),""))</f>
        <v/>
      </c>
      <c r="F142">
        <f>IF($A142="","",IFERROR(INDEX('Master Inventory'!$E:$E,MATCH($C142,'Master Inventory'!$A:$A,0)),0))</f>
        <v/>
      </c>
      <c r="G142">
        <f>IF($A142="","",'Blind Count Entry'!F140)</f>
        <v/>
      </c>
      <c r="H142">
        <f>IF($A142="","",G142-F142)</f>
        <v/>
      </c>
      <c r="I142" s="17">
        <f>IF($A142="","",IF(F142=0,IF(H142=0,0,1),ABS(H142)/F142))</f>
        <v/>
      </c>
      <c r="J142" s="18">
        <f>IF($A142="","",IF($E142="A",$E$1,IF($E142="B",$G$1,$I$1)))</f>
        <v/>
      </c>
      <c r="K142">
        <f>IF($A142="","",IF(H142=0,"MATCH",IF(I142&gt;J142,"RECOUNT","WITHIN TOLERANCE")))</f>
        <v/>
      </c>
      <c r="L142" s="5" t="n"/>
      <c r="M142">
        <f>IF(OR($A142="",$L142=""),"",L142-F142)</f>
        <v/>
      </c>
      <c r="N142" s="5" t="n"/>
      <c r="O142" s="5" t="n"/>
    </row>
    <row r="143">
      <c r="A143">
        <f>IF('Blind Count Entry'!A141="","",'Blind Count Entry'!A141)</f>
        <v/>
      </c>
      <c r="B143" s="16">
        <f>IF($A143="","",'Blind Count Entry'!B141)</f>
        <v/>
      </c>
      <c r="C143">
        <f>IF($A143="","",'Blind Count Entry'!C141)</f>
        <v/>
      </c>
      <c r="D143">
        <f>IF($A143="","",'Blind Count Entry'!D141)</f>
        <v/>
      </c>
      <c r="E143">
        <f>IF($A143="","",IFERROR(INDEX('ABC Analysis'!$F:$F,MATCH($C143,'ABC Analysis'!$A:$A,0)),""))</f>
        <v/>
      </c>
      <c r="F143">
        <f>IF($A143="","",IFERROR(INDEX('Master Inventory'!$E:$E,MATCH($C143,'Master Inventory'!$A:$A,0)),0))</f>
        <v/>
      </c>
      <c r="G143">
        <f>IF($A143="","",'Blind Count Entry'!F141)</f>
        <v/>
      </c>
      <c r="H143">
        <f>IF($A143="","",G143-F143)</f>
        <v/>
      </c>
      <c r="I143" s="17">
        <f>IF($A143="","",IF(F143=0,IF(H143=0,0,1),ABS(H143)/F143))</f>
        <v/>
      </c>
      <c r="J143" s="18">
        <f>IF($A143="","",IF($E143="A",$E$1,IF($E143="B",$G$1,$I$1)))</f>
        <v/>
      </c>
      <c r="K143">
        <f>IF($A143="","",IF(H143=0,"MATCH",IF(I143&gt;J143,"RECOUNT","WITHIN TOLERANCE")))</f>
        <v/>
      </c>
      <c r="L143" s="5" t="n"/>
      <c r="M143">
        <f>IF(OR($A143="",$L143=""),"",L143-F143)</f>
        <v/>
      </c>
      <c r="N143" s="5" t="n"/>
      <c r="O143" s="5" t="n"/>
    </row>
    <row r="144">
      <c r="A144">
        <f>IF('Blind Count Entry'!A142="","",'Blind Count Entry'!A142)</f>
        <v/>
      </c>
      <c r="B144" s="16">
        <f>IF($A144="","",'Blind Count Entry'!B142)</f>
        <v/>
      </c>
      <c r="C144">
        <f>IF($A144="","",'Blind Count Entry'!C142)</f>
        <v/>
      </c>
      <c r="D144">
        <f>IF($A144="","",'Blind Count Entry'!D142)</f>
        <v/>
      </c>
      <c r="E144">
        <f>IF($A144="","",IFERROR(INDEX('ABC Analysis'!$F:$F,MATCH($C144,'ABC Analysis'!$A:$A,0)),""))</f>
        <v/>
      </c>
      <c r="F144">
        <f>IF($A144="","",IFERROR(INDEX('Master Inventory'!$E:$E,MATCH($C144,'Master Inventory'!$A:$A,0)),0))</f>
        <v/>
      </c>
      <c r="G144">
        <f>IF($A144="","",'Blind Count Entry'!F142)</f>
        <v/>
      </c>
      <c r="H144">
        <f>IF($A144="","",G144-F144)</f>
        <v/>
      </c>
      <c r="I144" s="17">
        <f>IF($A144="","",IF(F144=0,IF(H144=0,0,1),ABS(H144)/F144))</f>
        <v/>
      </c>
      <c r="J144" s="18">
        <f>IF($A144="","",IF($E144="A",$E$1,IF($E144="B",$G$1,$I$1)))</f>
        <v/>
      </c>
      <c r="K144">
        <f>IF($A144="","",IF(H144=0,"MATCH",IF(I144&gt;J144,"RECOUNT","WITHIN TOLERANCE")))</f>
        <v/>
      </c>
      <c r="L144" s="5" t="n"/>
      <c r="M144">
        <f>IF(OR($A144="",$L144=""),"",L144-F144)</f>
        <v/>
      </c>
      <c r="N144" s="5" t="n"/>
      <c r="O144" s="5" t="n"/>
    </row>
    <row r="145">
      <c r="A145">
        <f>IF('Blind Count Entry'!A143="","",'Blind Count Entry'!A143)</f>
        <v/>
      </c>
      <c r="B145" s="16">
        <f>IF($A145="","",'Blind Count Entry'!B143)</f>
        <v/>
      </c>
      <c r="C145">
        <f>IF($A145="","",'Blind Count Entry'!C143)</f>
        <v/>
      </c>
      <c r="D145">
        <f>IF($A145="","",'Blind Count Entry'!D143)</f>
        <v/>
      </c>
      <c r="E145">
        <f>IF($A145="","",IFERROR(INDEX('ABC Analysis'!$F:$F,MATCH($C145,'ABC Analysis'!$A:$A,0)),""))</f>
        <v/>
      </c>
      <c r="F145">
        <f>IF($A145="","",IFERROR(INDEX('Master Inventory'!$E:$E,MATCH($C145,'Master Inventory'!$A:$A,0)),0))</f>
        <v/>
      </c>
      <c r="G145">
        <f>IF($A145="","",'Blind Count Entry'!F143)</f>
        <v/>
      </c>
      <c r="H145">
        <f>IF($A145="","",G145-F145)</f>
        <v/>
      </c>
      <c r="I145" s="17">
        <f>IF($A145="","",IF(F145=0,IF(H145=0,0,1),ABS(H145)/F145))</f>
        <v/>
      </c>
      <c r="J145" s="18">
        <f>IF($A145="","",IF($E145="A",$E$1,IF($E145="B",$G$1,$I$1)))</f>
        <v/>
      </c>
      <c r="K145">
        <f>IF($A145="","",IF(H145=0,"MATCH",IF(I145&gt;J145,"RECOUNT","WITHIN TOLERANCE")))</f>
        <v/>
      </c>
      <c r="L145" s="5" t="n"/>
      <c r="M145">
        <f>IF(OR($A145="",$L145=""),"",L145-F145)</f>
        <v/>
      </c>
      <c r="N145" s="5" t="n"/>
      <c r="O145" s="5" t="n"/>
    </row>
    <row r="146">
      <c r="A146">
        <f>IF('Blind Count Entry'!A144="","",'Blind Count Entry'!A144)</f>
        <v/>
      </c>
      <c r="B146" s="16">
        <f>IF($A146="","",'Blind Count Entry'!B144)</f>
        <v/>
      </c>
      <c r="C146">
        <f>IF($A146="","",'Blind Count Entry'!C144)</f>
        <v/>
      </c>
      <c r="D146">
        <f>IF($A146="","",'Blind Count Entry'!D144)</f>
        <v/>
      </c>
      <c r="E146">
        <f>IF($A146="","",IFERROR(INDEX('ABC Analysis'!$F:$F,MATCH($C146,'ABC Analysis'!$A:$A,0)),""))</f>
        <v/>
      </c>
      <c r="F146">
        <f>IF($A146="","",IFERROR(INDEX('Master Inventory'!$E:$E,MATCH($C146,'Master Inventory'!$A:$A,0)),0))</f>
        <v/>
      </c>
      <c r="G146">
        <f>IF($A146="","",'Blind Count Entry'!F144)</f>
        <v/>
      </c>
      <c r="H146">
        <f>IF($A146="","",G146-F146)</f>
        <v/>
      </c>
      <c r="I146" s="17">
        <f>IF($A146="","",IF(F146=0,IF(H146=0,0,1),ABS(H146)/F146))</f>
        <v/>
      </c>
      <c r="J146" s="18">
        <f>IF($A146="","",IF($E146="A",$E$1,IF($E146="B",$G$1,$I$1)))</f>
        <v/>
      </c>
      <c r="K146">
        <f>IF($A146="","",IF(H146=0,"MATCH",IF(I146&gt;J146,"RECOUNT","WITHIN TOLERANCE")))</f>
        <v/>
      </c>
      <c r="L146" s="5" t="n"/>
      <c r="M146">
        <f>IF(OR($A146="",$L146=""),"",L146-F146)</f>
        <v/>
      </c>
      <c r="N146" s="5" t="n"/>
      <c r="O146" s="5" t="n"/>
    </row>
    <row r="147">
      <c r="A147">
        <f>IF('Blind Count Entry'!A145="","",'Blind Count Entry'!A145)</f>
        <v/>
      </c>
      <c r="B147" s="16">
        <f>IF($A147="","",'Blind Count Entry'!B145)</f>
        <v/>
      </c>
      <c r="C147">
        <f>IF($A147="","",'Blind Count Entry'!C145)</f>
        <v/>
      </c>
      <c r="D147">
        <f>IF($A147="","",'Blind Count Entry'!D145)</f>
        <v/>
      </c>
      <c r="E147">
        <f>IF($A147="","",IFERROR(INDEX('ABC Analysis'!$F:$F,MATCH($C147,'ABC Analysis'!$A:$A,0)),""))</f>
        <v/>
      </c>
      <c r="F147">
        <f>IF($A147="","",IFERROR(INDEX('Master Inventory'!$E:$E,MATCH($C147,'Master Inventory'!$A:$A,0)),0))</f>
        <v/>
      </c>
      <c r="G147">
        <f>IF($A147="","",'Blind Count Entry'!F145)</f>
        <v/>
      </c>
      <c r="H147">
        <f>IF($A147="","",G147-F147)</f>
        <v/>
      </c>
      <c r="I147" s="17">
        <f>IF($A147="","",IF(F147=0,IF(H147=0,0,1),ABS(H147)/F147))</f>
        <v/>
      </c>
      <c r="J147" s="18">
        <f>IF($A147="","",IF($E147="A",$E$1,IF($E147="B",$G$1,$I$1)))</f>
        <v/>
      </c>
      <c r="K147">
        <f>IF($A147="","",IF(H147=0,"MATCH",IF(I147&gt;J147,"RECOUNT","WITHIN TOLERANCE")))</f>
        <v/>
      </c>
      <c r="L147" s="5" t="n"/>
      <c r="M147">
        <f>IF(OR($A147="",$L147=""),"",L147-F147)</f>
        <v/>
      </c>
      <c r="N147" s="5" t="n"/>
      <c r="O147" s="5" t="n"/>
    </row>
    <row r="148">
      <c r="A148">
        <f>IF('Blind Count Entry'!A146="","",'Blind Count Entry'!A146)</f>
        <v/>
      </c>
      <c r="B148" s="16">
        <f>IF($A148="","",'Blind Count Entry'!B146)</f>
        <v/>
      </c>
      <c r="C148">
        <f>IF($A148="","",'Blind Count Entry'!C146)</f>
        <v/>
      </c>
      <c r="D148">
        <f>IF($A148="","",'Blind Count Entry'!D146)</f>
        <v/>
      </c>
      <c r="E148">
        <f>IF($A148="","",IFERROR(INDEX('ABC Analysis'!$F:$F,MATCH($C148,'ABC Analysis'!$A:$A,0)),""))</f>
        <v/>
      </c>
      <c r="F148">
        <f>IF($A148="","",IFERROR(INDEX('Master Inventory'!$E:$E,MATCH($C148,'Master Inventory'!$A:$A,0)),0))</f>
        <v/>
      </c>
      <c r="G148">
        <f>IF($A148="","",'Blind Count Entry'!F146)</f>
        <v/>
      </c>
      <c r="H148">
        <f>IF($A148="","",G148-F148)</f>
        <v/>
      </c>
      <c r="I148" s="17">
        <f>IF($A148="","",IF(F148=0,IF(H148=0,0,1),ABS(H148)/F148))</f>
        <v/>
      </c>
      <c r="J148" s="18">
        <f>IF($A148="","",IF($E148="A",$E$1,IF($E148="B",$G$1,$I$1)))</f>
        <v/>
      </c>
      <c r="K148">
        <f>IF($A148="","",IF(H148=0,"MATCH",IF(I148&gt;J148,"RECOUNT","WITHIN TOLERANCE")))</f>
        <v/>
      </c>
      <c r="L148" s="5" t="n"/>
      <c r="M148">
        <f>IF(OR($A148="",$L148=""),"",L148-F148)</f>
        <v/>
      </c>
      <c r="N148" s="5" t="n"/>
      <c r="O148" s="5" t="n"/>
    </row>
    <row r="149">
      <c r="A149">
        <f>IF('Blind Count Entry'!A147="","",'Blind Count Entry'!A147)</f>
        <v/>
      </c>
      <c r="B149" s="16">
        <f>IF($A149="","",'Blind Count Entry'!B147)</f>
        <v/>
      </c>
      <c r="C149">
        <f>IF($A149="","",'Blind Count Entry'!C147)</f>
        <v/>
      </c>
      <c r="D149">
        <f>IF($A149="","",'Blind Count Entry'!D147)</f>
        <v/>
      </c>
      <c r="E149">
        <f>IF($A149="","",IFERROR(INDEX('ABC Analysis'!$F:$F,MATCH($C149,'ABC Analysis'!$A:$A,0)),""))</f>
        <v/>
      </c>
      <c r="F149">
        <f>IF($A149="","",IFERROR(INDEX('Master Inventory'!$E:$E,MATCH($C149,'Master Inventory'!$A:$A,0)),0))</f>
        <v/>
      </c>
      <c r="G149">
        <f>IF($A149="","",'Blind Count Entry'!F147)</f>
        <v/>
      </c>
      <c r="H149">
        <f>IF($A149="","",G149-F149)</f>
        <v/>
      </c>
      <c r="I149" s="17">
        <f>IF($A149="","",IF(F149=0,IF(H149=0,0,1),ABS(H149)/F149))</f>
        <v/>
      </c>
      <c r="J149" s="18">
        <f>IF($A149="","",IF($E149="A",$E$1,IF($E149="B",$G$1,$I$1)))</f>
        <v/>
      </c>
      <c r="K149">
        <f>IF($A149="","",IF(H149=0,"MATCH",IF(I149&gt;J149,"RECOUNT","WITHIN TOLERANCE")))</f>
        <v/>
      </c>
      <c r="L149" s="5" t="n"/>
      <c r="M149">
        <f>IF(OR($A149="",$L149=""),"",L149-F149)</f>
        <v/>
      </c>
      <c r="N149" s="5" t="n"/>
      <c r="O149" s="5" t="n"/>
    </row>
    <row r="150">
      <c r="A150">
        <f>IF('Blind Count Entry'!A148="","",'Blind Count Entry'!A148)</f>
        <v/>
      </c>
      <c r="B150" s="16">
        <f>IF($A150="","",'Blind Count Entry'!B148)</f>
        <v/>
      </c>
      <c r="C150">
        <f>IF($A150="","",'Blind Count Entry'!C148)</f>
        <v/>
      </c>
      <c r="D150">
        <f>IF($A150="","",'Blind Count Entry'!D148)</f>
        <v/>
      </c>
      <c r="E150">
        <f>IF($A150="","",IFERROR(INDEX('ABC Analysis'!$F:$F,MATCH($C150,'ABC Analysis'!$A:$A,0)),""))</f>
        <v/>
      </c>
      <c r="F150">
        <f>IF($A150="","",IFERROR(INDEX('Master Inventory'!$E:$E,MATCH($C150,'Master Inventory'!$A:$A,0)),0))</f>
        <v/>
      </c>
      <c r="G150">
        <f>IF($A150="","",'Blind Count Entry'!F148)</f>
        <v/>
      </c>
      <c r="H150">
        <f>IF($A150="","",G150-F150)</f>
        <v/>
      </c>
      <c r="I150" s="17">
        <f>IF($A150="","",IF(F150=0,IF(H150=0,0,1),ABS(H150)/F150))</f>
        <v/>
      </c>
      <c r="J150" s="18">
        <f>IF($A150="","",IF($E150="A",$E$1,IF($E150="B",$G$1,$I$1)))</f>
        <v/>
      </c>
      <c r="K150">
        <f>IF($A150="","",IF(H150=0,"MATCH",IF(I150&gt;J150,"RECOUNT","WITHIN TOLERANCE")))</f>
        <v/>
      </c>
      <c r="L150" s="5" t="n"/>
      <c r="M150">
        <f>IF(OR($A150="",$L150=""),"",L150-F150)</f>
        <v/>
      </c>
      <c r="N150" s="5" t="n"/>
      <c r="O150" s="5" t="n"/>
    </row>
    <row r="151">
      <c r="A151">
        <f>IF('Blind Count Entry'!A149="","",'Blind Count Entry'!A149)</f>
        <v/>
      </c>
      <c r="B151" s="16">
        <f>IF($A151="","",'Blind Count Entry'!B149)</f>
        <v/>
      </c>
      <c r="C151">
        <f>IF($A151="","",'Blind Count Entry'!C149)</f>
        <v/>
      </c>
      <c r="D151">
        <f>IF($A151="","",'Blind Count Entry'!D149)</f>
        <v/>
      </c>
      <c r="E151">
        <f>IF($A151="","",IFERROR(INDEX('ABC Analysis'!$F:$F,MATCH($C151,'ABC Analysis'!$A:$A,0)),""))</f>
        <v/>
      </c>
      <c r="F151">
        <f>IF($A151="","",IFERROR(INDEX('Master Inventory'!$E:$E,MATCH($C151,'Master Inventory'!$A:$A,0)),0))</f>
        <v/>
      </c>
      <c r="G151">
        <f>IF($A151="","",'Blind Count Entry'!F149)</f>
        <v/>
      </c>
      <c r="H151">
        <f>IF($A151="","",G151-F151)</f>
        <v/>
      </c>
      <c r="I151" s="17">
        <f>IF($A151="","",IF(F151=0,IF(H151=0,0,1),ABS(H151)/F151))</f>
        <v/>
      </c>
      <c r="J151" s="18">
        <f>IF($A151="","",IF($E151="A",$E$1,IF($E151="B",$G$1,$I$1)))</f>
        <v/>
      </c>
      <c r="K151">
        <f>IF($A151="","",IF(H151=0,"MATCH",IF(I151&gt;J151,"RECOUNT","WITHIN TOLERANCE")))</f>
        <v/>
      </c>
      <c r="L151" s="5" t="n"/>
      <c r="M151">
        <f>IF(OR($A151="",$L151=""),"",L151-F151)</f>
        <v/>
      </c>
      <c r="N151" s="5" t="n"/>
      <c r="O151" s="5" t="n"/>
    </row>
    <row r="152">
      <c r="A152">
        <f>IF('Blind Count Entry'!A150="","",'Blind Count Entry'!A150)</f>
        <v/>
      </c>
      <c r="B152" s="16">
        <f>IF($A152="","",'Blind Count Entry'!B150)</f>
        <v/>
      </c>
      <c r="C152">
        <f>IF($A152="","",'Blind Count Entry'!C150)</f>
        <v/>
      </c>
      <c r="D152">
        <f>IF($A152="","",'Blind Count Entry'!D150)</f>
        <v/>
      </c>
      <c r="E152">
        <f>IF($A152="","",IFERROR(INDEX('ABC Analysis'!$F:$F,MATCH($C152,'ABC Analysis'!$A:$A,0)),""))</f>
        <v/>
      </c>
      <c r="F152">
        <f>IF($A152="","",IFERROR(INDEX('Master Inventory'!$E:$E,MATCH($C152,'Master Inventory'!$A:$A,0)),0))</f>
        <v/>
      </c>
      <c r="G152">
        <f>IF($A152="","",'Blind Count Entry'!F150)</f>
        <v/>
      </c>
      <c r="H152">
        <f>IF($A152="","",G152-F152)</f>
        <v/>
      </c>
      <c r="I152" s="17">
        <f>IF($A152="","",IF(F152=0,IF(H152=0,0,1),ABS(H152)/F152))</f>
        <v/>
      </c>
      <c r="J152" s="18">
        <f>IF($A152="","",IF($E152="A",$E$1,IF($E152="B",$G$1,$I$1)))</f>
        <v/>
      </c>
      <c r="K152">
        <f>IF($A152="","",IF(H152=0,"MATCH",IF(I152&gt;J152,"RECOUNT","WITHIN TOLERANCE")))</f>
        <v/>
      </c>
      <c r="L152" s="5" t="n"/>
      <c r="M152">
        <f>IF(OR($A152="",$L152=""),"",L152-F152)</f>
        <v/>
      </c>
      <c r="N152" s="5" t="n"/>
      <c r="O152" s="5" t="n"/>
    </row>
    <row r="153">
      <c r="A153">
        <f>IF('Blind Count Entry'!A151="","",'Blind Count Entry'!A151)</f>
        <v/>
      </c>
      <c r="B153" s="16">
        <f>IF($A153="","",'Blind Count Entry'!B151)</f>
        <v/>
      </c>
      <c r="C153">
        <f>IF($A153="","",'Blind Count Entry'!C151)</f>
        <v/>
      </c>
      <c r="D153">
        <f>IF($A153="","",'Blind Count Entry'!D151)</f>
        <v/>
      </c>
      <c r="E153">
        <f>IF($A153="","",IFERROR(INDEX('ABC Analysis'!$F:$F,MATCH($C153,'ABC Analysis'!$A:$A,0)),""))</f>
        <v/>
      </c>
      <c r="F153">
        <f>IF($A153="","",IFERROR(INDEX('Master Inventory'!$E:$E,MATCH($C153,'Master Inventory'!$A:$A,0)),0))</f>
        <v/>
      </c>
      <c r="G153">
        <f>IF($A153="","",'Blind Count Entry'!F151)</f>
        <v/>
      </c>
      <c r="H153">
        <f>IF($A153="","",G153-F153)</f>
        <v/>
      </c>
      <c r="I153" s="17">
        <f>IF($A153="","",IF(F153=0,IF(H153=0,0,1),ABS(H153)/F153))</f>
        <v/>
      </c>
      <c r="J153" s="18">
        <f>IF($A153="","",IF($E153="A",$E$1,IF($E153="B",$G$1,$I$1)))</f>
        <v/>
      </c>
      <c r="K153">
        <f>IF($A153="","",IF(H153=0,"MATCH",IF(I153&gt;J153,"RECOUNT","WITHIN TOLERANCE")))</f>
        <v/>
      </c>
      <c r="L153" s="5" t="n"/>
      <c r="M153">
        <f>IF(OR($A153="",$L153=""),"",L153-F153)</f>
        <v/>
      </c>
      <c r="N153" s="5" t="n"/>
      <c r="O153" s="5" t="n"/>
    </row>
    <row r="154">
      <c r="A154">
        <f>IF('Blind Count Entry'!A152="","",'Blind Count Entry'!A152)</f>
        <v/>
      </c>
      <c r="B154" s="16">
        <f>IF($A154="","",'Blind Count Entry'!B152)</f>
        <v/>
      </c>
      <c r="C154">
        <f>IF($A154="","",'Blind Count Entry'!C152)</f>
        <v/>
      </c>
      <c r="D154">
        <f>IF($A154="","",'Blind Count Entry'!D152)</f>
        <v/>
      </c>
      <c r="E154">
        <f>IF($A154="","",IFERROR(INDEX('ABC Analysis'!$F:$F,MATCH($C154,'ABC Analysis'!$A:$A,0)),""))</f>
        <v/>
      </c>
      <c r="F154">
        <f>IF($A154="","",IFERROR(INDEX('Master Inventory'!$E:$E,MATCH($C154,'Master Inventory'!$A:$A,0)),0))</f>
        <v/>
      </c>
      <c r="G154">
        <f>IF($A154="","",'Blind Count Entry'!F152)</f>
        <v/>
      </c>
      <c r="H154">
        <f>IF($A154="","",G154-F154)</f>
        <v/>
      </c>
      <c r="I154" s="17">
        <f>IF($A154="","",IF(F154=0,IF(H154=0,0,1),ABS(H154)/F154))</f>
        <v/>
      </c>
      <c r="J154" s="18">
        <f>IF($A154="","",IF($E154="A",$E$1,IF($E154="B",$G$1,$I$1)))</f>
        <v/>
      </c>
      <c r="K154">
        <f>IF($A154="","",IF(H154=0,"MATCH",IF(I154&gt;J154,"RECOUNT","WITHIN TOLERANCE")))</f>
        <v/>
      </c>
      <c r="L154" s="5" t="n"/>
      <c r="M154">
        <f>IF(OR($A154="",$L154=""),"",L154-F154)</f>
        <v/>
      </c>
      <c r="N154" s="5" t="n"/>
      <c r="O154" s="5" t="n"/>
    </row>
    <row r="155">
      <c r="A155">
        <f>IF('Blind Count Entry'!A153="","",'Blind Count Entry'!A153)</f>
        <v/>
      </c>
      <c r="B155" s="16">
        <f>IF($A155="","",'Blind Count Entry'!B153)</f>
        <v/>
      </c>
      <c r="C155">
        <f>IF($A155="","",'Blind Count Entry'!C153)</f>
        <v/>
      </c>
      <c r="D155">
        <f>IF($A155="","",'Blind Count Entry'!D153)</f>
        <v/>
      </c>
      <c r="E155">
        <f>IF($A155="","",IFERROR(INDEX('ABC Analysis'!$F:$F,MATCH($C155,'ABC Analysis'!$A:$A,0)),""))</f>
        <v/>
      </c>
      <c r="F155">
        <f>IF($A155="","",IFERROR(INDEX('Master Inventory'!$E:$E,MATCH($C155,'Master Inventory'!$A:$A,0)),0))</f>
        <v/>
      </c>
      <c r="G155">
        <f>IF($A155="","",'Blind Count Entry'!F153)</f>
        <v/>
      </c>
      <c r="H155">
        <f>IF($A155="","",G155-F155)</f>
        <v/>
      </c>
      <c r="I155" s="17">
        <f>IF($A155="","",IF(F155=0,IF(H155=0,0,1),ABS(H155)/F155))</f>
        <v/>
      </c>
      <c r="J155" s="18">
        <f>IF($A155="","",IF($E155="A",$E$1,IF($E155="B",$G$1,$I$1)))</f>
        <v/>
      </c>
      <c r="K155">
        <f>IF($A155="","",IF(H155=0,"MATCH",IF(I155&gt;J155,"RECOUNT","WITHIN TOLERANCE")))</f>
        <v/>
      </c>
      <c r="L155" s="5" t="n"/>
      <c r="M155">
        <f>IF(OR($A155="",$L155=""),"",L155-F155)</f>
        <v/>
      </c>
      <c r="N155" s="5" t="n"/>
      <c r="O155" s="5" t="n"/>
    </row>
    <row r="156">
      <c r="A156">
        <f>IF('Blind Count Entry'!A154="","",'Blind Count Entry'!A154)</f>
        <v/>
      </c>
      <c r="B156" s="16">
        <f>IF($A156="","",'Blind Count Entry'!B154)</f>
        <v/>
      </c>
      <c r="C156">
        <f>IF($A156="","",'Blind Count Entry'!C154)</f>
        <v/>
      </c>
      <c r="D156">
        <f>IF($A156="","",'Blind Count Entry'!D154)</f>
        <v/>
      </c>
      <c r="E156">
        <f>IF($A156="","",IFERROR(INDEX('ABC Analysis'!$F:$F,MATCH($C156,'ABC Analysis'!$A:$A,0)),""))</f>
        <v/>
      </c>
      <c r="F156">
        <f>IF($A156="","",IFERROR(INDEX('Master Inventory'!$E:$E,MATCH($C156,'Master Inventory'!$A:$A,0)),0))</f>
        <v/>
      </c>
      <c r="G156">
        <f>IF($A156="","",'Blind Count Entry'!F154)</f>
        <v/>
      </c>
      <c r="H156">
        <f>IF($A156="","",G156-F156)</f>
        <v/>
      </c>
      <c r="I156" s="17">
        <f>IF($A156="","",IF(F156=0,IF(H156=0,0,1),ABS(H156)/F156))</f>
        <v/>
      </c>
      <c r="J156" s="18">
        <f>IF($A156="","",IF($E156="A",$E$1,IF($E156="B",$G$1,$I$1)))</f>
        <v/>
      </c>
      <c r="K156">
        <f>IF($A156="","",IF(H156=0,"MATCH",IF(I156&gt;J156,"RECOUNT","WITHIN TOLERANCE")))</f>
        <v/>
      </c>
      <c r="L156" s="5" t="n"/>
      <c r="M156">
        <f>IF(OR($A156="",$L156=""),"",L156-F156)</f>
        <v/>
      </c>
      <c r="N156" s="5" t="n"/>
      <c r="O156" s="5" t="n"/>
    </row>
    <row r="157">
      <c r="A157">
        <f>IF('Blind Count Entry'!A155="","",'Blind Count Entry'!A155)</f>
        <v/>
      </c>
      <c r="B157" s="16">
        <f>IF($A157="","",'Blind Count Entry'!B155)</f>
        <v/>
      </c>
      <c r="C157">
        <f>IF($A157="","",'Blind Count Entry'!C155)</f>
        <v/>
      </c>
      <c r="D157">
        <f>IF($A157="","",'Blind Count Entry'!D155)</f>
        <v/>
      </c>
      <c r="E157">
        <f>IF($A157="","",IFERROR(INDEX('ABC Analysis'!$F:$F,MATCH($C157,'ABC Analysis'!$A:$A,0)),""))</f>
        <v/>
      </c>
      <c r="F157">
        <f>IF($A157="","",IFERROR(INDEX('Master Inventory'!$E:$E,MATCH($C157,'Master Inventory'!$A:$A,0)),0))</f>
        <v/>
      </c>
      <c r="G157">
        <f>IF($A157="","",'Blind Count Entry'!F155)</f>
        <v/>
      </c>
      <c r="H157">
        <f>IF($A157="","",G157-F157)</f>
        <v/>
      </c>
      <c r="I157" s="17">
        <f>IF($A157="","",IF(F157=0,IF(H157=0,0,1),ABS(H157)/F157))</f>
        <v/>
      </c>
      <c r="J157" s="18">
        <f>IF($A157="","",IF($E157="A",$E$1,IF($E157="B",$G$1,$I$1)))</f>
        <v/>
      </c>
      <c r="K157">
        <f>IF($A157="","",IF(H157=0,"MATCH",IF(I157&gt;J157,"RECOUNT","WITHIN TOLERANCE")))</f>
        <v/>
      </c>
      <c r="L157" s="5" t="n"/>
      <c r="M157">
        <f>IF(OR($A157="",$L157=""),"",L157-F157)</f>
        <v/>
      </c>
      <c r="N157" s="5" t="n"/>
      <c r="O157" s="5" t="n"/>
    </row>
    <row r="158">
      <c r="A158">
        <f>IF('Blind Count Entry'!A156="","",'Blind Count Entry'!A156)</f>
        <v/>
      </c>
      <c r="B158" s="16">
        <f>IF($A158="","",'Blind Count Entry'!B156)</f>
        <v/>
      </c>
      <c r="C158">
        <f>IF($A158="","",'Blind Count Entry'!C156)</f>
        <v/>
      </c>
      <c r="D158">
        <f>IF($A158="","",'Blind Count Entry'!D156)</f>
        <v/>
      </c>
      <c r="E158">
        <f>IF($A158="","",IFERROR(INDEX('ABC Analysis'!$F:$F,MATCH($C158,'ABC Analysis'!$A:$A,0)),""))</f>
        <v/>
      </c>
      <c r="F158">
        <f>IF($A158="","",IFERROR(INDEX('Master Inventory'!$E:$E,MATCH($C158,'Master Inventory'!$A:$A,0)),0))</f>
        <v/>
      </c>
      <c r="G158">
        <f>IF($A158="","",'Blind Count Entry'!F156)</f>
        <v/>
      </c>
      <c r="H158">
        <f>IF($A158="","",G158-F158)</f>
        <v/>
      </c>
      <c r="I158" s="17">
        <f>IF($A158="","",IF(F158=0,IF(H158=0,0,1),ABS(H158)/F158))</f>
        <v/>
      </c>
      <c r="J158" s="18">
        <f>IF($A158="","",IF($E158="A",$E$1,IF($E158="B",$G$1,$I$1)))</f>
        <v/>
      </c>
      <c r="K158">
        <f>IF($A158="","",IF(H158=0,"MATCH",IF(I158&gt;J158,"RECOUNT","WITHIN TOLERANCE")))</f>
        <v/>
      </c>
      <c r="L158" s="5" t="n"/>
      <c r="M158">
        <f>IF(OR($A158="",$L158=""),"",L158-F158)</f>
        <v/>
      </c>
      <c r="N158" s="5" t="n"/>
      <c r="O158" s="5" t="n"/>
    </row>
    <row r="159">
      <c r="A159">
        <f>IF('Blind Count Entry'!A157="","",'Blind Count Entry'!A157)</f>
        <v/>
      </c>
      <c r="B159" s="16">
        <f>IF($A159="","",'Blind Count Entry'!B157)</f>
        <v/>
      </c>
      <c r="C159">
        <f>IF($A159="","",'Blind Count Entry'!C157)</f>
        <v/>
      </c>
      <c r="D159">
        <f>IF($A159="","",'Blind Count Entry'!D157)</f>
        <v/>
      </c>
      <c r="E159">
        <f>IF($A159="","",IFERROR(INDEX('ABC Analysis'!$F:$F,MATCH($C159,'ABC Analysis'!$A:$A,0)),""))</f>
        <v/>
      </c>
      <c r="F159">
        <f>IF($A159="","",IFERROR(INDEX('Master Inventory'!$E:$E,MATCH($C159,'Master Inventory'!$A:$A,0)),0))</f>
        <v/>
      </c>
      <c r="G159">
        <f>IF($A159="","",'Blind Count Entry'!F157)</f>
        <v/>
      </c>
      <c r="H159">
        <f>IF($A159="","",G159-F159)</f>
        <v/>
      </c>
      <c r="I159" s="17">
        <f>IF($A159="","",IF(F159=0,IF(H159=0,0,1),ABS(H159)/F159))</f>
        <v/>
      </c>
      <c r="J159" s="18">
        <f>IF($A159="","",IF($E159="A",$E$1,IF($E159="B",$G$1,$I$1)))</f>
        <v/>
      </c>
      <c r="K159">
        <f>IF($A159="","",IF(H159=0,"MATCH",IF(I159&gt;J159,"RECOUNT","WITHIN TOLERANCE")))</f>
        <v/>
      </c>
      <c r="L159" s="5" t="n"/>
      <c r="M159">
        <f>IF(OR($A159="",$L159=""),"",L159-F159)</f>
        <v/>
      </c>
      <c r="N159" s="5" t="n"/>
      <c r="O159" s="5" t="n"/>
    </row>
    <row r="160">
      <c r="A160">
        <f>IF('Blind Count Entry'!A158="","",'Blind Count Entry'!A158)</f>
        <v/>
      </c>
      <c r="B160" s="16">
        <f>IF($A160="","",'Blind Count Entry'!B158)</f>
        <v/>
      </c>
      <c r="C160">
        <f>IF($A160="","",'Blind Count Entry'!C158)</f>
        <v/>
      </c>
      <c r="D160">
        <f>IF($A160="","",'Blind Count Entry'!D158)</f>
        <v/>
      </c>
      <c r="E160">
        <f>IF($A160="","",IFERROR(INDEX('ABC Analysis'!$F:$F,MATCH($C160,'ABC Analysis'!$A:$A,0)),""))</f>
        <v/>
      </c>
      <c r="F160">
        <f>IF($A160="","",IFERROR(INDEX('Master Inventory'!$E:$E,MATCH($C160,'Master Inventory'!$A:$A,0)),0))</f>
        <v/>
      </c>
      <c r="G160">
        <f>IF($A160="","",'Blind Count Entry'!F158)</f>
        <v/>
      </c>
      <c r="H160">
        <f>IF($A160="","",G160-F160)</f>
        <v/>
      </c>
      <c r="I160" s="17">
        <f>IF($A160="","",IF(F160=0,IF(H160=0,0,1),ABS(H160)/F160))</f>
        <v/>
      </c>
      <c r="J160" s="18">
        <f>IF($A160="","",IF($E160="A",$E$1,IF($E160="B",$G$1,$I$1)))</f>
        <v/>
      </c>
      <c r="K160">
        <f>IF($A160="","",IF(H160=0,"MATCH",IF(I160&gt;J160,"RECOUNT","WITHIN TOLERANCE")))</f>
        <v/>
      </c>
      <c r="L160" s="5" t="n"/>
      <c r="M160">
        <f>IF(OR($A160="",$L160=""),"",L160-F160)</f>
        <v/>
      </c>
      <c r="N160" s="5" t="n"/>
      <c r="O160" s="5" t="n"/>
    </row>
    <row r="161">
      <c r="A161">
        <f>IF('Blind Count Entry'!A159="","",'Blind Count Entry'!A159)</f>
        <v/>
      </c>
      <c r="B161" s="16">
        <f>IF($A161="","",'Blind Count Entry'!B159)</f>
        <v/>
      </c>
      <c r="C161">
        <f>IF($A161="","",'Blind Count Entry'!C159)</f>
        <v/>
      </c>
      <c r="D161">
        <f>IF($A161="","",'Blind Count Entry'!D159)</f>
        <v/>
      </c>
      <c r="E161">
        <f>IF($A161="","",IFERROR(INDEX('ABC Analysis'!$F:$F,MATCH($C161,'ABC Analysis'!$A:$A,0)),""))</f>
        <v/>
      </c>
      <c r="F161">
        <f>IF($A161="","",IFERROR(INDEX('Master Inventory'!$E:$E,MATCH($C161,'Master Inventory'!$A:$A,0)),0))</f>
        <v/>
      </c>
      <c r="G161">
        <f>IF($A161="","",'Blind Count Entry'!F159)</f>
        <v/>
      </c>
      <c r="H161">
        <f>IF($A161="","",G161-F161)</f>
        <v/>
      </c>
      <c r="I161" s="17">
        <f>IF($A161="","",IF(F161=0,IF(H161=0,0,1),ABS(H161)/F161))</f>
        <v/>
      </c>
      <c r="J161" s="18">
        <f>IF($A161="","",IF($E161="A",$E$1,IF($E161="B",$G$1,$I$1)))</f>
        <v/>
      </c>
      <c r="K161">
        <f>IF($A161="","",IF(H161=0,"MATCH",IF(I161&gt;J161,"RECOUNT","WITHIN TOLERANCE")))</f>
        <v/>
      </c>
      <c r="L161" s="5" t="n"/>
      <c r="M161">
        <f>IF(OR($A161="",$L161=""),"",L161-F161)</f>
        <v/>
      </c>
      <c r="N161" s="5" t="n"/>
      <c r="O161" s="5" t="n"/>
    </row>
    <row r="162">
      <c r="A162">
        <f>IF('Blind Count Entry'!A160="","",'Blind Count Entry'!A160)</f>
        <v/>
      </c>
      <c r="B162" s="16">
        <f>IF($A162="","",'Blind Count Entry'!B160)</f>
        <v/>
      </c>
      <c r="C162">
        <f>IF($A162="","",'Blind Count Entry'!C160)</f>
        <v/>
      </c>
      <c r="D162">
        <f>IF($A162="","",'Blind Count Entry'!D160)</f>
        <v/>
      </c>
      <c r="E162">
        <f>IF($A162="","",IFERROR(INDEX('ABC Analysis'!$F:$F,MATCH($C162,'ABC Analysis'!$A:$A,0)),""))</f>
        <v/>
      </c>
      <c r="F162">
        <f>IF($A162="","",IFERROR(INDEX('Master Inventory'!$E:$E,MATCH($C162,'Master Inventory'!$A:$A,0)),0))</f>
        <v/>
      </c>
      <c r="G162">
        <f>IF($A162="","",'Blind Count Entry'!F160)</f>
        <v/>
      </c>
      <c r="H162">
        <f>IF($A162="","",G162-F162)</f>
        <v/>
      </c>
      <c r="I162" s="17">
        <f>IF($A162="","",IF(F162=0,IF(H162=0,0,1),ABS(H162)/F162))</f>
        <v/>
      </c>
      <c r="J162" s="18">
        <f>IF($A162="","",IF($E162="A",$E$1,IF($E162="B",$G$1,$I$1)))</f>
        <v/>
      </c>
      <c r="K162">
        <f>IF($A162="","",IF(H162=0,"MATCH",IF(I162&gt;J162,"RECOUNT","WITHIN TOLERANCE")))</f>
        <v/>
      </c>
      <c r="L162" s="5" t="n"/>
      <c r="M162">
        <f>IF(OR($A162="",$L162=""),"",L162-F162)</f>
        <v/>
      </c>
      <c r="N162" s="5" t="n"/>
      <c r="O162" s="5" t="n"/>
    </row>
    <row r="163">
      <c r="A163">
        <f>IF('Blind Count Entry'!A161="","",'Blind Count Entry'!A161)</f>
        <v/>
      </c>
      <c r="B163" s="16">
        <f>IF($A163="","",'Blind Count Entry'!B161)</f>
        <v/>
      </c>
      <c r="C163">
        <f>IF($A163="","",'Blind Count Entry'!C161)</f>
        <v/>
      </c>
      <c r="D163">
        <f>IF($A163="","",'Blind Count Entry'!D161)</f>
        <v/>
      </c>
      <c r="E163">
        <f>IF($A163="","",IFERROR(INDEX('ABC Analysis'!$F:$F,MATCH($C163,'ABC Analysis'!$A:$A,0)),""))</f>
        <v/>
      </c>
      <c r="F163">
        <f>IF($A163="","",IFERROR(INDEX('Master Inventory'!$E:$E,MATCH($C163,'Master Inventory'!$A:$A,0)),0))</f>
        <v/>
      </c>
      <c r="G163">
        <f>IF($A163="","",'Blind Count Entry'!F161)</f>
        <v/>
      </c>
      <c r="H163">
        <f>IF($A163="","",G163-F163)</f>
        <v/>
      </c>
      <c r="I163" s="17">
        <f>IF($A163="","",IF(F163=0,IF(H163=0,0,1),ABS(H163)/F163))</f>
        <v/>
      </c>
      <c r="J163" s="18">
        <f>IF($A163="","",IF($E163="A",$E$1,IF($E163="B",$G$1,$I$1)))</f>
        <v/>
      </c>
      <c r="K163">
        <f>IF($A163="","",IF(H163=0,"MATCH",IF(I163&gt;J163,"RECOUNT","WITHIN TOLERANCE")))</f>
        <v/>
      </c>
      <c r="L163" s="5" t="n"/>
      <c r="M163">
        <f>IF(OR($A163="",$L163=""),"",L163-F163)</f>
        <v/>
      </c>
      <c r="N163" s="5" t="n"/>
      <c r="O163" s="5" t="n"/>
    </row>
    <row r="164">
      <c r="A164">
        <f>IF('Blind Count Entry'!A162="","",'Blind Count Entry'!A162)</f>
        <v/>
      </c>
      <c r="B164" s="16">
        <f>IF($A164="","",'Blind Count Entry'!B162)</f>
        <v/>
      </c>
      <c r="C164">
        <f>IF($A164="","",'Blind Count Entry'!C162)</f>
        <v/>
      </c>
      <c r="D164">
        <f>IF($A164="","",'Blind Count Entry'!D162)</f>
        <v/>
      </c>
      <c r="E164">
        <f>IF($A164="","",IFERROR(INDEX('ABC Analysis'!$F:$F,MATCH($C164,'ABC Analysis'!$A:$A,0)),""))</f>
        <v/>
      </c>
      <c r="F164">
        <f>IF($A164="","",IFERROR(INDEX('Master Inventory'!$E:$E,MATCH($C164,'Master Inventory'!$A:$A,0)),0))</f>
        <v/>
      </c>
      <c r="G164">
        <f>IF($A164="","",'Blind Count Entry'!F162)</f>
        <v/>
      </c>
      <c r="H164">
        <f>IF($A164="","",G164-F164)</f>
        <v/>
      </c>
      <c r="I164" s="17">
        <f>IF($A164="","",IF(F164=0,IF(H164=0,0,1),ABS(H164)/F164))</f>
        <v/>
      </c>
      <c r="J164" s="18">
        <f>IF($A164="","",IF($E164="A",$E$1,IF($E164="B",$G$1,$I$1)))</f>
        <v/>
      </c>
      <c r="K164">
        <f>IF($A164="","",IF(H164=0,"MATCH",IF(I164&gt;J164,"RECOUNT","WITHIN TOLERANCE")))</f>
        <v/>
      </c>
      <c r="L164" s="5" t="n"/>
      <c r="M164">
        <f>IF(OR($A164="",$L164=""),"",L164-F164)</f>
        <v/>
      </c>
      <c r="N164" s="5" t="n"/>
      <c r="O164" s="5" t="n"/>
    </row>
    <row r="165">
      <c r="A165">
        <f>IF('Blind Count Entry'!A163="","",'Blind Count Entry'!A163)</f>
        <v/>
      </c>
      <c r="B165" s="16">
        <f>IF($A165="","",'Blind Count Entry'!B163)</f>
        <v/>
      </c>
      <c r="C165">
        <f>IF($A165="","",'Blind Count Entry'!C163)</f>
        <v/>
      </c>
      <c r="D165">
        <f>IF($A165="","",'Blind Count Entry'!D163)</f>
        <v/>
      </c>
      <c r="E165">
        <f>IF($A165="","",IFERROR(INDEX('ABC Analysis'!$F:$F,MATCH($C165,'ABC Analysis'!$A:$A,0)),""))</f>
        <v/>
      </c>
      <c r="F165">
        <f>IF($A165="","",IFERROR(INDEX('Master Inventory'!$E:$E,MATCH($C165,'Master Inventory'!$A:$A,0)),0))</f>
        <v/>
      </c>
      <c r="G165">
        <f>IF($A165="","",'Blind Count Entry'!F163)</f>
        <v/>
      </c>
      <c r="H165">
        <f>IF($A165="","",G165-F165)</f>
        <v/>
      </c>
      <c r="I165" s="17">
        <f>IF($A165="","",IF(F165=0,IF(H165=0,0,1),ABS(H165)/F165))</f>
        <v/>
      </c>
      <c r="J165" s="18">
        <f>IF($A165="","",IF($E165="A",$E$1,IF($E165="B",$G$1,$I$1)))</f>
        <v/>
      </c>
      <c r="K165">
        <f>IF($A165="","",IF(H165=0,"MATCH",IF(I165&gt;J165,"RECOUNT","WITHIN TOLERANCE")))</f>
        <v/>
      </c>
      <c r="L165" s="5" t="n"/>
      <c r="M165">
        <f>IF(OR($A165="",$L165=""),"",L165-F165)</f>
        <v/>
      </c>
      <c r="N165" s="5" t="n"/>
      <c r="O165" s="5" t="n"/>
    </row>
    <row r="166">
      <c r="A166">
        <f>IF('Blind Count Entry'!A164="","",'Blind Count Entry'!A164)</f>
        <v/>
      </c>
      <c r="B166" s="16">
        <f>IF($A166="","",'Blind Count Entry'!B164)</f>
        <v/>
      </c>
      <c r="C166">
        <f>IF($A166="","",'Blind Count Entry'!C164)</f>
        <v/>
      </c>
      <c r="D166">
        <f>IF($A166="","",'Blind Count Entry'!D164)</f>
        <v/>
      </c>
      <c r="E166">
        <f>IF($A166="","",IFERROR(INDEX('ABC Analysis'!$F:$F,MATCH($C166,'ABC Analysis'!$A:$A,0)),""))</f>
        <v/>
      </c>
      <c r="F166">
        <f>IF($A166="","",IFERROR(INDEX('Master Inventory'!$E:$E,MATCH($C166,'Master Inventory'!$A:$A,0)),0))</f>
        <v/>
      </c>
      <c r="G166">
        <f>IF($A166="","",'Blind Count Entry'!F164)</f>
        <v/>
      </c>
      <c r="H166">
        <f>IF($A166="","",G166-F166)</f>
        <v/>
      </c>
      <c r="I166" s="17">
        <f>IF($A166="","",IF(F166=0,IF(H166=0,0,1),ABS(H166)/F166))</f>
        <v/>
      </c>
      <c r="J166" s="18">
        <f>IF($A166="","",IF($E166="A",$E$1,IF($E166="B",$G$1,$I$1)))</f>
        <v/>
      </c>
      <c r="K166">
        <f>IF($A166="","",IF(H166=0,"MATCH",IF(I166&gt;J166,"RECOUNT","WITHIN TOLERANCE")))</f>
        <v/>
      </c>
      <c r="L166" s="5" t="n"/>
      <c r="M166">
        <f>IF(OR($A166="",$L166=""),"",L166-F166)</f>
        <v/>
      </c>
      <c r="N166" s="5" t="n"/>
      <c r="O166" s="5" t="n"/>
    </row>
    <row r="167">
      <c r="A167">
        <f>IF('Blind Count Entry'!A165="","",'Blind Count Entry'!A165)</f>
        <v/>
      </c>
      <c r="B167" s="16">
        <f>IF($A167="","",'Blind Count Entry'!B165)</f>
        <v/>
      </c>
      <c r="C167">
        <f>IF($A167="","",'Blind Count Entry'!C165)</f>
        <v/>
      </c>
      <c r="D167">
        <f>IF($A167="","",'Blind Count Entry'!D165)</f>
        <v/>
      </c>
      <c r="E167">
        <f>IF($A167="","",IFERROR(INDEX('ABC Analysis'!$F:$F,MATCH($C167,'ABC Analysis'!$A:$A,0)),""))</f>
        <v/>
      </c>
      <c r="F167">
        <f>IF($A167="","",IFERROR(INDEX('Master Inventory'!$E:$E,MATCH($C167,'Master Inventory'!$A:$A,0)),0))</f>
        <v/>
      </c>
      <c r="G167">
        <f>IF($A167="","",'Blind Count Entry'!F165)</f>
        <v/>
      </c>
      <c r="H167">
        <f>IF($A167="","",G167-F167)</f>
        <v/>
      </c>
      <c r="I167" s="17">
        <f>IF($A167="","",IF(F167=0,IF(H167=0,0,1),ABS(H167)/F167))</f>
        <v/>
      </c>
      <c r="J167" s="18">
        <f>IF($A167="","",IF($E167="A",$E$1,IF($E167="B",$G$1,$I$1)))</f>
        <v/>
      </c>
      <c r="K167">
        <f>IF($A167="","",IF(H167=0,"MATCH",IF(I167&gt;J167,"RECOUNT","WITHIN TOLERANCE")))</f>
        <v/>
      </c>
      <c r="L167" s="5" t="n"/>
      <c r="M167">
        <f>IF(OR($A167="",$L167=""),"",L167-F167)</f>
        <v/>
      </c>
      <c r="N167" s="5" t="n"/>
      <c r="O167" s="5" t="n"/>
    </row>
    <row r="168">
      <c r="A168">
        <f>IF('Blind Count Entry'!A166="","",'Blind Count Entry'!A166)</f>
        <v/>
      </c>
      <c r="B168" s="16">
        <f>IF($A168="","",'Blind Count Entry'!B166)</f>
        <v/>
      </c>
      <c r="C168">
        <f>IF($A168="","",'Blind Count Entry'!C166)</f>
        <v/>
      </c>
      <c r="D168">
        <f>IF($A168="","",'Blind Count Entry'!D166)</f>
        <v/>
      </c>
      <c r="E168">
        <f>IF($A168="","",IFERROR(INDEX('ABC Analysis'!$F:$F,MATCH($C168,'ABC Analysis'!$A:$A,0)),""))</f>
        <v/>
      </c>
      <c r="F168">
        <f>IF($A168="","",IFERROR(INDEX('Master Inventory'!$E:$E,MATCH($C168,'Master Inventory'!$A:$A,0)),0))</f>
        <v/>
      </c>
      <c r="G168">
        <f>IF($A168="","",'Blind Count Entry'!F166)</f>
        <v/>
      </c>
      <c r="H168">
        <f>IF($A168="","",G168-F168)</f>
        <v/>
      </c>
      <c r="I168" s="17">
        <f>IF($A168="","",IF(F168=0,IF(H168=0,0,1),ABS(H168)/F168))</f>
        <v/>
      </c>
      <c r="J168" s="18">
        <f>IF($A168="","",IF($E168="A",$E$1,IF($E168="B",$G$1,$I$1)))</f>
        <v/>
      </c>
      <c r="K168">
        <f>IF($A168="","",IF(H168=0,"MATCH",IF(I168&gt;J168,"RECOUNT","WITHIN TOLERANCE")))</f>
        <v/>
      </c>
      <c r="L168" s="5" t="n"/>
      <c r="M168">
        <f>IF(OR($A168="",$L168=""),"",L168-F168)</f>
        <v/>
      </c>
      <c r="N168" s="5" t="n"/>
      <c r="O168" s="5" t="n"/>
    </row>
    <row r="169">
      <c r="A169">
        <f>IF('Blind Count Entry'!A167="","",'Blind Count Entry'!A167)</f>
        <v/>
      </c>
      <c r="B169" s="16">
        <f>IF($A169="","",'Blind Count Entry'!B167)</f>
        <v/>
      </c>
      <c r="C169">
        <f>IF($A169="","",'Blind Count Entry'!C167)</f>
        <v/>
      </c>
      <c r="D169">
        <f>IF($A169="","",'Blind Count Entry'!D167)</f>
        <v/>
      </c>
      <c r="E169">
        <f>IF($A169="","",IFERROR(INDEX('ABC Analysis'!$F:$F,MATCH($C169,'ABC Analysis'!$A:$A,0)),""))</f>
        <v/>
      </c>
      <c r="F169">
        <f>IF($A169="","",IFERROR(INDEX('Master Inventory'!$E:$E,MATCH($C169,'Master Inventory'!$A:$A,0)),0))</f>
        <v/>
      </c>
      <c r="G169">
        <f>IF($A169="","",'Blind Count Entry'!F167)</f>
        <v/>
      </c>
      <c r="H169">
        <f>IF($A169="","",G169-F169)</f>
        <v/>
      </c>
      <c r="I169" s="17">
        <f>IF($A169="","",IF(F169=0,IF(H169=0,0,1),ABS(H169)/F169))</f>
        <v/>
      </c>
      <c r="J169" s="18">
        <f>IF($A169="","",IF($E169="A",$E$1,IF($E169="B",$G$1,$I$1)))</f>
        <v/>
      </c>
      <c r="K169">
        <f>IF($A169="","",IF(H169=0,"MATCH",IF(I169&gt;J169,"RECOUNT","WITHIN TOLERANCE")))</f>
        <v/>
      </c>
      <c r="L169" s="5" t="n"/>
      <c r="M169">
        <f>IF(OR($A169="",$L169=""),"",L169-F169)</f>
        <v/>
      </c>
      <c r="N169" s="5" t="n"/>
      <c r="O169" s="5" t="n"/>
    </row>
    <row r="170">
      <c r="A170">
        <f>IF('Blind Count Entry'!A168="","",'Blind Count Entry'!A168)</f>
        <v/>
      </c>
      <c r="B170" s="16">
        <f>IF($A170="","",'Blind Count Entry'!B168)</f>
        <v/>
      </c>
      <c r="C170">
        <f>IF($A170="","",'Blind Count Entry'!C168)</f>
        <v/>
      </c>
      <c r="D170">
        <f>IF($A170="","",'Blind Count Entry'!D168)</f>
        <v/>
      </c>
      <c r="E170">
        <f>IF($A170="","",IFERROR(INDEX('ABC Analysis'!$F:$F,MATCH($C170,'ABC Analysis'!$A:$A,0)),""))</f>
        <v/>
      </c>
      <c r="F170">
        <f>IF($A170="","",IFERROR(INDEX('Master Inventory'!$E:$E,MATCH($C170,'Master Inventory'!$A:$A,0)),0))</f>
        <v/>
      </c>
      <c r="G170">
        <f>IF($A170="","",'Blind Count Entry'!F168)</f>
        <v/>
      </c>
      <c r="H170">
        <f>IF($A170="","",G170-F170)</f>
        <v/>
      </c>
      <c r="I170" s="17">
        <f>IF($A170="","",IF(F170=0,IF(H170=0,0,1),ABS(H170)/F170))</f>
        <v/>
      </c>
      <c r="J170" s="18">
        <f>IF($A170="","",IF($E170="A",$E$1,IF($E170="B",$G$1,$I$1)))</f>
        <v/>
      </c>
      <c r="K170">
        <f>IF($A170="","",IF(H170=0,"MATCH",IF(I170&gt;J170,"RECOUNT","WITHIN TOLERANCE")))</f>
        <v/>
      </c>
      <c r="L170" s="5" t="n"/>
      <c r="M170">
        <f>IF(OR($A170="",$L170=""),"",L170-F170)</f>
        <v/>
      </c>
      <c r="N170" s="5" t="n"/>
      <c r="O170" s="5" t="n"/>
    </row>
    <row r="171">
      <c r="A171">
        <f>IF('Blind Count Entry'!A169="","",'Blind Count Entry'!A169)</f>
        <v/>
      </c>
      <c r="B171" s="16">
        <f>IF($A171="","",'Blind Count Entry'!B169)</f>
        <v/>
      </c>
      <c r="C171">
        <f>IF($A171="","",'Blind Count Entry'!C169)</f>
        <v/>
      </c>
      <c r="D171">
        <f>IF($A171="","",'Blind Count Entry'!D169)</f>
        <v/>
      </c>
      <c r="E171">
        <f>IF($A171="","",IFERROR(INDEX('ABC Analysis'!$F:$F,MATCH($C171,'ABC Analysis'!$A:$A,0)),""))</f>
        <v/>
      </c>
      <c r="F171">
        <f>IF($A171="","",IFERROR(INDEX('Master Inventory'!$E:$E,MATCH($C171,'Master Inventory'!$A:$A,0)),0))</f>
        <v/>
      </c>
      <c r="G171">
        <f>IF($A171="","",'Blind Count Entry'!F169)</f>
        <v/>
      </c>
      <c r="H171">
        <f>IF($A171="","",G171-F171)</f>
        <v/>
      </c>
      <c r="I171" s="17">
        <f>IF($A171="","",IF(F171=0,IF(H171=0,0,1),ABS(H171)/F171))</f>
        <v/>
      </c>
      <c r="J171" s="18">
        <f>IF($A171="","",IF($E171="A",$E$1,IF($E171="B",$G$1,$I$1)))</f>
        <v/>
      </c>
      <c r="K171">
        <f>IF($A171="","",IF(H171=0,"MATCH",IF(I171&gt;J171,"RECOUNT","WITHIN TOLERANCE")))</f>
        <v/>
      </c>
      <c r="L171" s="5" t="n"/>
      <c r="M171">
        <f>IF(OR($A171="",$L171=""),"",L171-F171)</f>
        <v/>
      </c>
      <c r="N171" s="5" t="n"/>
      <c r="O171" s="5" t="n"/>
    </row>
    <row r="172">
      <c r="A172">
        <f>IF('Blind Count Entry'!A170="","",'Blind Count Entry'!A170)</f>
        <v/>
      </c>
      <c r="B172" s="16">
        <f>IF($A172="","",'Blind Count Entry'!B170)</f>
        <v/>
      </c>
      <c r="C172">
        <f>IF($A172="","",'Blind Count Entry'!C170)</f>
        <v/>
      </c>
      <c r="D172">
        <f>IF($A172="","",'Blind Count Entry'!D170)</f>
        <v/>
      </c>
      <c r="E172">
        <f>IF($A172="","",IFERROR(INDEX('ABC Analysis'!$F:$F,MATCH($C172,'ABC Analysis'!$A:$A,0)),""))</f>
        <v/>
      </c>
      <c r="F172">
        <f>IF($A172="","",IFERROR(INDEX('Master Inventory'!$E:$E,MATCH($C172,'Master Inventory'!$A:$A,0)),0))</f>
        <v/>
      </c>
      <c r="G172">
        <f>IF($A172="","",'Blind Count Entry'!F170)</f>
        <v/>
      </c>
      <c r="H172">
        <f>IF($A172="","",G172-F172)</f>
        <v/>
      </c>
      <c r="I172" s="17">
        <f>IF($A172="","",IF(F172=0,IF(H172=0,0,1),ABS(H172)/F172))</f>
        <v/>
      </c>
      <c r="J172" s="18">
        <f>IF($A172="","",IF($E172="A",$E$1,IF($E172="B",$G$1,$I$1)))</f>
        <v/>
      </c>
      <c r="K172">
        <f>IF($A172="","",IF(H172=0,"MATCH",IF(I172&gt;J172,"RECOUNT","WITHIN TOLERANCE")))</f>
        <v/>
      </c>
      <c r="L172" s="5" t="n"/>
      <c r="M172">
        <f>IF(OR($A172="",$L172=""),"",L172-F172)</f>
        <v/>
      </c>
      <c r="N172" s="5" t="n"/>
      <c r="O172" s="5" t="n"/>
    </row>
    <row r="173">
      <c r="A173">
        <f>IF('Blind Count Entry'!A171="","",'Blind Count Entry'!A171)</f>
        <v/>
      </c>
      <c r="B173" s="16">
        <f>IF($A173="","",'Blind Count Entry'!B171)</f>
        <v/>
      </c>
      <c r="C173">
        <f>IF($A173="","",'Blind Count Entry'!C171)</f>
        <v/>
      </c>
      <c r="D173">
        <f>IF($A173="","",'Blind Count Entry'!D171)</f>
        <v/>
      </c>
      <c r="E173">
        <f>IF($A173="","",IFERROR(INDEX('ABC Analysis'!$F:$F,MATCH($C173,'ABC Analysis'!$A:$A,0)),""))</f>
        <v/>
      </c>
      <c r="F173">
        <f>IF($A173="","",IFERROR(INDEX('Master Inventory'!$E:$E,MATCH($C173,'Master Inventory'!$A:$A,0)),0))</f>
        <v/>
      </c>
      <c r="G173">
        <f>IF($A173="","",'Blind Count Entry'!F171)</f>
        <v/>
      </c>
      <c r="H173">
        <f>IF($A173="","",G173-F173)</f>
        <v/>
      </c>
      <c r="I173" s="17">
        <f>IF($A173="","",IF(F173=0,IF(H173=0,0,1),ABS(H173)/F173))</f>
        <v/>
      </c>
      <c r="J173" s="18">
        <f>IF($A173="","",IF($E173="A",$E$1,IF($E173="B",$G$1,$I$1)))</f>
        <v/>
      </c>
      <c r="K173">
        <f>IF($A173="","",IF(H173=0,"MATCH",IF(I173&gt;J173,"RECOUNT","WITHIN TOLERANCE")))</f>
        <v/>
      </c>
      <c r="L173" s="5" t="n"/>
      <c r="M173">
        <f>IF(OR($A173="",$L173=""),"",L173-F173)</f>
        <v/>
      </c>
      <c r="N173" s="5" t="n"/>
      <c r="O173" s="5" t="n"/>
    </row>
    <row r="174">
      <c r="A174">
        <f>IF('Blind Count Entry'!A172="","",'Blind Count Entry'!A172)</f>
        <v/>
      </c>
      <c r="B174" s="16">
        <f>IF($A174="","",'Blind Count Entry'!B172)</f>
        <v/>
      </c>
      <c r="C174">
        <f>IF($A174="","",'Blind Count Entry'!C172)</f>
        <v/>
      </c>
      <c r="D174">
        <f>IF($A174="","",'Blind Count Entry'!D172)</f>
        <v/>
      </c>
      <c r="E174">
        <f>IF($A174="","",IFERROR(INDEX('ABC Analysis'!$F:$F,MATCH($C174,'ABC Analysis'!$A:$A,0)),""))</f>
        <v/>
      </c>
      <c r="F174">
        <f>IF($A174="","",IFERROR(INDEX('Master Inventory'!$E:$E,MATCH($C174,'Master Inventory'!$A:$A,0)),0))</f>
        <v/>
      </c>
      <c r="G174">
        <f>IF($A174="","",'Blind Count Entry'!F172)</f>
        <v/>
      </c>
      <c r="H174">
        <f>IF($A174="","",G174-F174)</f>
        <v/>
      </c>
      <c r="I174" s="17">
        <f>IF($A174="","",IF(F174=0,IF(H174=0,0,1),ABS(H174)/F174))</f>
        <v/>
      </c>
      <c r="J174" s="18">
        <f>IF($A174="","",IF($E174="A",$E$1,IF($E174="B",$G$1,$I$1)))</f>
        <v/>
      </c>
      <c r="K174">
        <f>IF($A174="","",IF(H174=0,"MATCH",IF(I174&gt;J174,"RECOUNT","WITHIN TOLERANCE")))</f>
        <v/>
      </c>
      <c r="L174" s="5" t="n"/>
      <c r="M174">
        <f>IF(OR($A174="",$L174=""),"",L174-F174)</f>
        <v/>
      </c>
      <c r="N174" s="5" t="n"/>
      <c r="O174" s="5" t="n"/>
    </row>
    <row r="175">
      <c r="A175">
        <f>IF('Blind Count Entry'!A173="","",'Blind Count Entry'!A173)</f>
        <v/>
      </c>
      <c r="B175" s="16">
        <f>IF($A175="","",'Blind Count Entry'!B173)</f>
        <v/>
      </c>
      <c r="C175">
        <f>IF($A175="","",'Blind Count Entry'!C173)</f>
        <v/>
      </c>
      <c r="D175">
        <f>IF($A175="","",'Blind Count Entry'!D173)</f>
        <v/>
      </c>
      <c r="E175">
        <f>IF($A175="","",IFERROR(INDEX('ABC Analysis'!$F:$F,MATCH($C175,'ABC Analysis'!$A:$A,0)),""))</f>
        <v/>
      </c>
      <c r="F175">
        <f>IF($A175="","",IFERROR(INDEX('Master Inventory'!$E:$E,MATCH($C175,'Master Inventory'!$A:$A,0)),0))</f>
        <v/>
      </c>
      <c r="G175">
        <f>IF($A175="","",'Blind Count Entry'!F173)</f>
        <v/>
      </c>
      <c r="H175">
        <f>IF($A175="","",G175-F175)</f>
        <v/>
      </c>
      <c r="I175" s="17">
        <f>IF($A175="","",IF(F175=0,IF(H175=0,0,1),ABS(H175)/F175))</f>
        <v/>
      </c>
      <c r="J175" s="18">
        <f>IF($A175="","",IF($E175="A",$E$1,IF($E175="B",$G$1,$I$1)))</f>
        <v/>
      </c>
      <c r="K175">
        <f>IF($A175="","",IF(H175=0,"MATCH",IF(I175&gt;J175,"RECOUNT","WITHIN TOLERANCE")))</f>
        <v/>
      </c>
      <c r="L175" s="5" t="n"/>
      <c r="M175">
        <f>IF(OR($A175="",$L175=""),"",L175-F175)</f>
        <v/>
      </c>
      <c r="N175" s="5" t="n"/>
      <c r="O175" s="5" t="n"/>
    </row>
    <row r="176">
      <c r="A176">
        <f>IF('Blind Count Entry'!A174="","",'Blind Count Entry'!A174)</f>
        <v/>
      </c>
      <c r="B176" s="16">
        <f>IF($A176="","",'Blind Count Entry'!B174)</f>
        <v/>
      </c>
      <c r="C176">
        <f>IF($A176="","",'Blind Count Entry'!C174)</f>
        <v/>
      </c>
      <c r="D176">
        <f>IF($A176="","",'Blind Count Entry'!D174)</f>
        <v/>
      </c>
      <c r="E176">
        <f>IF($A176="","",IFERROR(INDEX('ABC Analysis'!$F:$F,MATCH($C176,'ABC Analysis'!$A:$A,0)),""))</f>
        <v/>
      </c>
      <c r="F176">
        <f>IF($A176="","",IFERROR(INDEX('Master Inventory'!$E:$E,MATCH($C176,'Master Inventory'!$A:$A,0)),0))</f>
        <v/>
      </c>
      <c r="G176">
        <f>IF($A176="","",'Blind Count Entry'!F174)</f>
        <v/>
      </c>
      <c r="H176">
        <f>IF($A176="","",G176-F176)</f>
        <v/>
      </c>
      <c r="I176" s="17">
        <f>IF($A176="","",IF(F176=0,IF(H176=0,0,1),ABS(H176)/F176))</f>
        <v/>
      </c>
      <c r="J176" s="18">
        <f>IF($A176="","",IF($E176="A",$E$1,IF($E176="B",$G$1,$I$1)))</f>
        <v/>
      </c>
      <c r="K176">
        <f>IF($A176="","",IF(H176=0,"MATCH",IF(I176&gt;J176,"RECOUNT","WITHIN TOLERANCE")))</f>
        <v/>
      </c>
      <c r="L176" s="5" t="n"/>
      <c r="M176">
        <f>IF(OR($A176="",$L176=""),"",L176-F176)</f>
        <v/>
      </c>
      <c r="N176" s="5" t="n"/>
      <c r="O176" s="5" t="n"/>
    </row>
    <row r="177">
      <c r="A177">
        <f>IF('Blind Count Entry'!A175="","",'Blind Count Entry'!A175)</f>
        <v/>
      </c>
      <c r="B177" s="16">
        <f>IF($A177="","",'Blind Count Entry'!B175)</f>
        <v/>
      </c>
      <c r="C177">
        <f>IF($A177="","",'Blind Count Entry'!C175)</f>
        <v/>
      </c>
      <c r="D177">
        <f>IF($A177="","",'Blind Count Entry'!D175)</f>
        <v/>
      </c>
      <c r="E177">
        <f>IF($A177="","",IFERROR(INDEX('ABC Analysis'!$F:$F,MATCH($C177,'ABC Analysis'!$A:$A,0)),""))</f>
        <v/>
      </c>
      <c r="F177">
        <f>IF($A177="","",IFERROR(INDEX('Master Inventory'!$E:$E,MATCH($C177,'Master Inventory'!$A:$A,0)),0))</f>
        <v/>
      </c>
      <c r="G177">
        <f>IF($A177="","",'Blind Count Entry'!F175)</f>
        <v/>
      </c>
      <c r="H177">
        <f>IF($A177="","",G177-F177)</f>
        <v/>
      </c>
      <c r="I177" s="17">
        <f>IF($A177="","",IF(F177=0,IF(H177=0,0,1),ABS(H177)/F177))</f>
        <v/>
      </c>
      <c r="J177" s="18">
        <f>IF($A177="","",IF($E177="A",$E$1,IF($E177="B",$G$1,$I$1)))</f>
        <v/>
      </c>
      <c r="K177">
        <f>IF($A177="","",IF(H177=0,"MATCH",IF(I177&gt;J177,"RECOUNT","WITHIN TOLERANCE")))</f>
        <v/>
      </c>
      <c r="L177" s="5" t="n"/>
      <c r="M177">
        <f>IF(OR($A177="",$L177=""),"",L177-F177)</f>
        <v/>
      </c>
      <c r="N177" s="5" t="n"/>
      <c r="O177" s="5" t="n"/>
    </row>
    <row r="178">
      <c r="A178">
        <f>IF('Blind Count Entry'!A176="","",'Blind Count Entry'!A176)</f>
        <v/>
      </c>
      <c r="B178" s="16">
        <f>IF($A178="","",'Blind Count Entry'!B176)</f>
        <v/>
      </c>
      <c r="C178">
        <f>IF($A178="","",'Blind Count Entry'!C176)</f>
        <v/>
      </c>
      <c r="D178">
        <f>IF($A178="","",'Blind Count Entry'!D176)</f>
        <v/>
      </c>
      <c r="E178">
        <f>IF($A178="","",IFERROR(INDEX('ABC Analysis'!$F:$F,MATCH($C178,'ABC Analysis'!$A:$A,0)),""))</f>
        <v/>
      </c>
      <c r="F178">
        <f>IF($A178="","",IFERROR(INDEX('Master Inventory'!$E:$E,MATCH($C178,'Master Inventory'!$A:$A,0)),0))</f>
        <v/>
      </c>
      <c r="G178">
        <f>IF($A178="","",'Blind Count Entry'!F176)</f>
        <v/>
      </c>
      <c r="H178">
        <f>IF($A178="","",G178-F178)</f>
        <v/>
      </c>
      <c r="I178" s="17">
        <f>IF($A178="","",IF(F178=0,IF(H178=0,0,1),ABS(H178)/F178))</f>
        <v/>
      </c>
      <c r="J178" s="18">
        <f>IF($A178="","",IF($E178="A",$E$1,IF($E178="B",$G$1,$I$1)))</f>
        <v/>
      </c>
      <c r="K178">
        <f>IF($A178="","",IF(H178=0,"MATCH",IF(I178&gt;J178,"RECOUNT","WITHIN TOLERANCE")))</f>
        <v/>
      </c>
      <c r="L178" s="5" t="n"/>
      <c r="M178">
        <f>IF(OR($A178="",$L178=""),"",L178-F178)</f>
        <v/>
      </c>
      <c r="N178" s="5" t="n"/>
      <c r="O178" s="5" t="n"/>
    </row>
    <row r="179">
      <c r="A179">
        <f>IF('Blind Count Entry'!A177="","",'Blind Count Entry'!A177)</f>
        <v/>
      </c>
      <c r="B179" s="16">
        <f>IF($A179="","",'Blind Count Entry'!B177)</f>
        <v/>
      </c>
      <c r="C179">
        <f>IF($A179="","",'Blind Count Entry'!C177)</f>
        <v/>
      </c>
      <c r="D179">
        <f>IF($A179="","",'Blind Count Entry'!D177)</f>
        <v/>
      </c>
      <c r="E179">
        <f>IF($A179="","",IFERROR(INDEX('ABC Analysis'!$F:$F,MATCH($C179,'ABC Analysis'!$A:$A,0)),""))</f>
        <v/>
      </c>
      <c r="F179">
        <f>IF($A179="","",IFERROR(INDEX('Master Inventory'!$E:$E,MATCH($C179,'Master Inventory'!$A:$A,0)),0))</f>
        <v/>
      </c>
      <c r="G179">
        <f>IF($A179="","",'Blind Count Entry'!F177)</f>
        <v/>
      </c>
      <c r="H179">
        <f>IF($A179="","",G179-F179)</f>
        <v/>
      </c>
      <c r="I179" s="17">
        <f>IF($A179="","",IF(F179=0,IF(H179=0,0,1),ABS(H179)/F179))</f>
        <v/>
      </c>
      <c r="J179" s="18">
        <f>IF($A179="","",IF($E179="A",$E$1,IF($E179="B",$G$1,$I$1)))</f>
        <v/>
      </c>
      <c r="K179">
        <f>IF($A179="","",IF(H179=0,"MATCH",IF(I179&gt;J179,"RECOUNT","WITHIN TOLERANCE")))</f>
        <v/>
      </c>
      <c r="L179" s="5" t="n"/>
      <c r="M179">
        <f>IF(OR($A179="",$L179=""),"",L179-F179)</f>
        <v/>
      </c>
      <c r="N179" s="5" t="n"/>
      <c r="O179" s="5" t="n"/>
    </row>
    <row r="180">
      <c r="A180">
        <f>IF('Blind Count Entry'!A178="","",'Blind Count Entry'!A178)</f>
        <v/>
      </c>
      <c r="B180" s="16">
        <f>IF($A180="","",'Blind Count Entry'!B178)</f>
        <v/>
      </c>
      <c r="C180">
        <f>IF($A180="","",'Blind Count Entry'!C178)</f>
        <v/>
      </c>
      <c r="D180">
        <f>IF($A180="","",'Blind Count Entry'!D178)</f>
        <v/>
      </c>
      <c r="E180">
        <f>IF($A180="","",IFERROR(INDEX('ABC Analysis'!$F:$F,MATCH($C180,'ABC Analysis'!$A:$A,0)),""))</f>
        <v/>
      </c>
      <c r="F180">
        <f>IF($A180="","",IFERROR(INDEX('Master Inventory'!$E:$E,MATCH($C180,'Master Inventory'!$A:$A,0)),0))</f>
        <v/>
      </c>
      <c r="G180">
        <f>IF($A180="","",'Blind Count Entry'!F178)</f>
        <v/>
      </c>
      <c r="H180">
        <f>IF($A180="","",G180-F180)</f>
        <v/>
      </c>
      <c r="I180" s="17">
        <f>IF($A180="","",IF(F180=0,IF(H180=0,0,1),ABS(H180)/F180))</f>
        <v/>
      </c>
      <c r="J180" s="18">
        <f>IF($A180="","",IF($E180="A",$E$1,IF($E180="B",$G$1,$I$1)))</f>
        <v/>
      </c>
      <c r="K180">
        <f>IF($A180="","",IF(H180=0,"MATCH",IF(I180&gt;J180,"RECOUNT","WITHIN TOLERANCE")))</f>
        <v/>
      </c>
      <c r="L180" s="5" t="n"/>
      <c r="M180">
        <f>IF(OR($A180="",$L180=""),"",L180-F180)</f>
        <v/>
      </c>
      <c r="N180" s="5" t="n"/>
      <c r="O180" s="5" t="n"/>
    </row>
    <row r="181">
      <c r="A181">
        <f>IF('Blind Count Entry'!A179="","",'Blind Count Entry'!A179)</f>
        <v/>
      </c>
      <c r="B181" s="16">
        <f>IF($A181="","",'Blind Count Entry'!B179)</f>
        <v/>
      </c>
      <c r="C181">
        <f>IF($A181="","",'Blind Count Entry'!C179)</f>
        <v/>
      </c>
      <c r="D181">
        <f>IF($A181="","",'Blind Count Entry'!D179)</f>
        <v/>
      </c>
      <c r="E181">
        <f>IF($A181="","",IFERROR(INDEX('ABC Analysis'!$F:$F,MATCH($C181,'ABC Analysis'!$A:$A,0)),""))</f>
        <v/>
      </c>
      <c r="F181">
        <f>IF($A181="","",IFERROR(INDEX('Master Inventory'!$E:$E,MATCH($C181,'Master Inventory'!$A:$A,0)),0))</f>
        <v/>
      </c>
      <c r="G181">
        <f>IF($A181="","",'Blind Count Entry'!F179)</f>
        <v/>
      </c>
      <c r="H181">
        <f>IF($A181="","",G181-F181)</f>
        <v/>
      </c>
      <c r="I181" s="17">
        <f>IF($A181="","",IF(F181=0,IF(H181=0,0,1),ABS(H181)/F181))</f>
        <v/>
      </c>
      <c r="J181" s="18">
        <f>IF($A181="","",IF($E181="A",$E$1,IF($E181="B",$G$1,$I$1)))</f>
        <v/>
      </c>
      <c r="K181">
        <f>IF($A181="","",IF(H181=0,"MATCH",IF(I181&gt;J181,"RECOUNT","WITHIN TOLERANCE")))</f>
        <v/>
      </c>
      <c r="L181" s="5" t="n"/>
      <c r="M181">
        <f>IF(OR($A181="",$L181=""),"",L181-F181)</f>
        <v/>
      </c>
      <c r="N181" s="5" t="n"/>
      <c r="O181" s="5" t="n"/>
    </row>
    <row r="182">
      <c r="A182">
        <f>IF('Blind Count Entry'!A180="","",'Blind Count Entry'!A180)</f>
        <v/>
      </c>
      <c r="B182" s="16">
        <f>IF($A182="","",'Blind Count Entry'!B180)</f>
        <v/>
      </c>
      <c r="C182">
        <f>IF($A182="","",'Blind Count Entry'!C180)</f>
        <v/>
      </c>
      <c r="D182">
        <f>IF($A182="","",'Blind Count Entry'!D180)</f>
        <v/>
      </c>
      <c r="E182">
        <f>IF($A182="","",IFERROR(INDEX('ABC Analysis'!$F:$F,MATCH($C182,'ABC Analysis'!$A:$A,0)),""))</f>
        <v/>
      </c>
      <c r="F182">
        <f>IF($A182="","",IFERROR(INDEX('Master Inventory'!$E:$E,MATCH($C182,'Master Inventory'!$A:$A,0)),0))</f>
        <v/>
      </c>
      <c r="G182">
        <f>IF($A182="","",'Blind Count Entry'!F180)</f>
        <v/>
      </c>
      <c r="H182">
        <f>IF($A182="","",G182-F182)</f>
        <v/>
      </c>
      <c r="I182" s="17">
        <f>IF($A182="","",IF(F182=0,IF(H182=0,0,1),ABS(H182)/F182))</f>
        <v/>
      </c>
      <c r="J182" s="18">
        <f>IF($A182="","",IF($E182="A",$E$1,IF($E182="B",$G$1,$I$1)))</f>
        <v/>
      </c>
      <c r="K182">
        <f>IF($A182="","",IF(H182=0,"MATCH",IF(I182&gt;J182,"RECOUNT","WITHIN TOLERANCE")))</f>
        <v/>
      </c>
      <c r="L182" s="5" t="n"/>
      <c r="M182">
        <f>IF(OR($A182="",$L182=""),"",L182-F182)</f>
        <v/>
      </c>
      <c r="N182" s="5" t="n"/>
      <c r="O182" s="5" t="n"/>
    </row>
    <row r="183">
      <c r="A183">
        <f>IF('Blind Count Entry'!A181="","",'Blind Count Entry'!A181)</f>
        <v/>
      </c>
      <c r="B183" s="16">
        <f>IF($A183="","",'Blind Count Entry'!B181)</f>
        <v/>
      </c>
      <c r="C183">
        <f>IF($A183="","",'Blind Count Entry'!C181)</f>
        <v/>
      </c>
      <c r="D183">
        <f>IF($A183="","",'Blind Count Entry'!D181)</f>
        <v/>
      </c>
      <c r="E183">
        <f>IF($A183="","",IFERROR(INDEX('ABC Analysis'!$F:$F,MATCH($C183,'ABC Analysis'!$A:$A,0)),""))</f>
        <v/>
      </c>
      <c r="F183">
        <f>IF($A183="","",IFERROR(INDEX('Master Inventory'!$E:$E,MATCH($C183,'Master Inventory'!$A:$A,0)),0))</f>
        <v/>
      </c>
      <c r="G183">
        <f>IF($A183="","",'Blind Count Entry'!F181)</f>
        <v/>
      </c>
      <c r="H183">
        <f>IF($A183="","",G183-F183)</f>
        <v/>
      </c>
      <c r="I183" s="17">
        <f>IF($A183="","",IF(F183=0,IF(H183=0,0,1),ABS(H183)/F183))</f>
        <v/>
      </c>
      <c r="J183" s="18">
        <f>IF($A183="","",IF($E183="A",$E$1,IF($E183="B",$G$1,$I$1)))</f>
        <v/>
      </c>
      <c r="K183">
        <f>IF($A183="","",IF(H183=0,"MATCH",IF(I183&gt;J183,"RECOUNT","WITHIN TOLERANCE")))</f>
        <v/>
      </c>
      <c r="L183" s="5" t="n"/>
      <c r="M183">
        <f>IF(OR($A183="",$L183=""),"",L183-F183)</f>
        <v/>
      </c>
      <c r="N183" s="5" t="n"/>
      <c r="O183" s="5" t="n"/>
    </row>
    <row r="184">
      <c r="A184">
        <f>IF('Blind Count Entry'!A182="","",'Blind Count Entry'!A182)</f>
        <v/>
      </c>
      <c r="B184" s="16">
        <f>IF($A184="","",'Blind Count Entry'!B182)</f>
        <v/>
      </c>
      <c r="C184">
        <f>IF($A184="","",'Blind Count Entry'!C182)</f>
        <v/>
      </c>
      <c r="D184">
        <f>IF($A184="","",'Blind Count Entry'!D182)</f>
        <v/>
      </c>
      <c r="E184">
        <f>IF($A184="","",IFERROR(INDEX('ABC Analysis'!$F:$F,MATCH($C184,'ABC Analysis'!$A:$A,0)),""))</f>
        <v/>
      </c>
      <c r="F184">
        <f>IF($A184="","",IFERROR(INDEX('Master Inventory'!$E:$E,MATCH($C184,'Master Inventory'!$A:$A,0)),0))</f>
        <v/>
      </c>
      <c r="G184">
        <f>IF($A184="","",'Blind Count Entry'!F182)</f>
        <v/>
      </c>
      <c r="H184">
        <f>IF($A184="","",G184-F184)</f>
        <v/>
      </c>
      <c r="I184" s="17">
        <f>IF($A184="","",IF(F184=0,IF(H184=0,0,1),ABS(H184)/F184))</f>
        <v/>
      </c>
      <c r="J184" s="18">
        <f>IF($A184="","",IF($E184="A",$E$1,IF($E184="B",$G$1,$I$1)))</f>
        <v/>
      </c>
      <c r="K184">
        <f>IF($A184="","",IF(H184=0,"MATCH",IF(I184&gt;J184,"RECOUNT","WITHIN TOLERANCE")))</f>
        <v/>
      </c>
      <c r="L184" s="5" t="n"/>
      <c r="M184">
        <f>IF(OR($A184="",$L184=""),"",L184-F184)</f>
        <v/>
      </c>
      <c r="N184" s="5" t="n"/>
      <c r="O184" s="5" t="n"/>
    </row>
    <row r="185">
      <c r="A185">
        <f>IF('Blind Count Entry'!A183="","",'Blind Count Entry'!A183)</f>
        <v/>
      </c>
      <c r="B185" s="16">
        <f>IF($A185="","",'Blind Count Entry'!B183)</f>
        <v/>
      </c>
      <c r="C185">
        <f>IF($A185="","",'Blind Count Entry'!C183)</f>
        <v/>
      </c>
      <c r="D185">
        <f>IF($A185="","",'Blind Count Entry'!D183)</f>
        <v/>
      </c>
      <c r="E185">
        <f>IF($A185="","",IFERROR(INDEX('ABC Analysis'!$F:$F,MATCH($C185,'ABC Analysis'!$A:$A,0)),""))</f>
        <v/>
      </c>
      <c r="F185">
        <f>IF($A185="","",IFERROR(INDEX('Master Inventory'!$E:$E,MATCH($C185,'Master Inventory'!$A:$A,0)),0))</f>
        <v/>
      </c>
      <c r="G185">
        <f>IF($A185="","",'Blind Count Entry'!F183)</f>
        <v/>
      </c>
      <c r="H185">
        <f>IF($A185="","",G185-F185)</f>
        <v/>
      </c>
      <c r="I185" s="17">
        <f>IF($A185="","",IF(F185=0,IF(H185=0,0,1),ABS(H185)/F185))</f>
        <v/>
      </c>
      <c r="J185" s="18">
        <f>IF($A185="","",IF($E185="A",$E$1,IF($E185="B",$G$1,$I$1)))</f>
        <v/>
      </c>
      <c r="K185">
        <f>IF($A185="","",IF(H185=0,"MATCH",IF(I185&gt;J185,"RECOUNT","WITHIN TOLERANCE")))</f>
        <v/>
      </c>
      <c r="L185" s="5" t="n"/>
      <c r="M185">
        <f>IF(OR($A185="",$L185=""),"",L185-F185)</f>
        <v/>
      </c>
      <c r="N185" s="5" t="n"/>
      <c r="O185" s="5" t="n"/>
    </row>
    <row r="186">
      <c r="A186">
        <f>IF('Blind Count Entry'!A184="","",'Blind Count Entry'!A184)</f>
        <v/>
      </c>
      <c r="B186" s="16">
        <f>IF($A186="","",'Blind Count Entry'!B184)</f>
        <v/>
      </c>
      <c r="C186">
        <f>IF($A186="","",'Blind Count Entry'!C184)</f>
        <v/>
      </c>
      <c r="D186">
        <f>IF($A186="","",'Blind Count Entry'!D184)</f>
        <v/>
      </c>
      <c r="E186">
        <f>IF($A186="","",IFERROR(INDEX('ABC Analysis'!$F:$F,MATCH($C186,'ABC Analysis'!$A:$A,0)),""))</f>
        <v/>
      </c>
      <c r="F186">
        <f>IF($A186="","",IFERROR(INDEX('Master Inventory'!$E:$E,MATCH($C186,'Master Inventory'!$A:$A,0)),0))</f>
        <v/>
      </c>
      <c r="G186">
        <f>IF($A186="","",'Blind Count Entry'!F184)</f>
        <v/>
      </c>
      <c r="H186">
        <f>IF($A186="","",G186-F186)</f>
        <v/>
      </c>
      <c r="I186" s="17">
        <f>IF($A186="","",IF(F186=0,IF(H186=0,0,1),ABS(H186)/F186))</f>
        <v/>
      </c>
      <c r="J186" s="18">
        <f>IF($A186="","",IF($E186="A",$E$1,IF($E186="B",$G$1,$I$1)))</f>
        <v/>
      </c>
      <c r="K186">
        <f>IF($A186="","",IF(H186=0,"MATCH",IF(I186&gt;J186,"RECOUNT","WITHIN TOLERANCE")))</f>
        <v/>
      </c>
      <c r="L186" s="5" t="n"/>
      <c r="M186">
        <f>IF(OR($A186="",$L186=""),"",L186-F186)</f>
        <v/>
      </c>
      <c r="N186" s="5" t="n"/>
      <c r="O186" s="5" t="n"/>
    </row>
    <row r="187">
      <c r="A187">
        <f>IF('Blind Count Entry'!A185="","",'Blind Count Entry'!A185)</f>
        <v/>
      </c>
      <c r="B187" s="16">
        <f>IF($A187="","",'Blind Count Entry'!B185)</f>
        <v/>
      </c>
      <c r="C187">
        <f>IF($A187="","",'Blind Count Entry'!C185)</f>
        <v/>
      </c>
      <c r="D187">
        <f>IF($A187="","",'Blind Count Entry'!D185)</f>
        <v/>
      </c>
      <c r="E187">
        <f>IF($A187="","",IFERROR(INDEX('ABC Analysis'!$F:$F,MATCH($C187,'ABC Analysis'!$A:$A,0)),""))</f>
        <v/>
      </c>
      <c r="F187">
        <f>IF($A187="","",IFERROR(INDEX('Master Inventory'!$E:$E,MATCH($C187,'Master Inventory'!$A:$A,0)),0))</f>
        <v/>
      </c>
      <c r="G187">
        <f>IF($A187="","",'Blind Count Entry'!F185)</f>
        <v/>
      </c>
      <c r="H187">
        <f>IF($A187="","",G187-F187)</f>
        <v/>
      </c>
      <c r="I187" s="17">
        <f>IF($A187="","",IF(F187=0,IF(H187=0,0,1),ABS(H187)/F187))</f>
        <v/>
      </c>
      <c r="J187" s="18">
        <f>IF($A187="","",IF($E187="A",$E$1,IF($E187="B",$G$1,$I$1)))</f>
        <v/>
      </c>
      <c r="K187">
        <f>IF($A187="","",IF(H187=0,"MATCH",IF(I187&gt;J187,"RECOUNT","WITHIN TOLERANCE")))</f>
        <v/>
      </c>
      <c r="L187" s="5" t="n"/>
      <c r="M187">
        <f>IF(OR($A187="",$L187=""),"",L187-F187)</f>
        <v/>
      </c>
      <c r="N187" s="5" t="n"/>
      <c r="O187" s="5" t="n"/>
    </row>
    <row r="188">
      <c r="A188">
        <f>IF('Blind Count Entry'!A186="","",'Blind Count Entry'!A186)</f>
        <v/>
      </c>
      <c r="B188" s="16">
        <f>IF($A188="","",'Blind Count Entry'!B186)</f>
        <v/>
      </c>
      <c r="C188">
        <f>IF($A188="","",'Blind Count Entry'!C186)</f>
        <v/>
      </c>
      <c r="D188">
        <f>IF($A188="","",'Blind Count Entry'!D186)</f>
        <v/>
      </c>
      <c r="E188">
        <f>IF($A188="","",IFERROR(INDEX('ABC Analysis'!$F:$F,MATCH($C188,'ABC Analysis'!$A:$A,0)),""))</f>
        <v/>
      </c>
      <c r="F188">
        <f>IF($A188="","",IFERROR(INDEX('Master Inventory'!$E:$E,MATCH($C188,'Master Inventory'!$A:$A,0)),0))</f>
        <v/>
      </c>
      <c r="G188">
        <f>IF($A188="","",'Blind Count Entry'!F186)</f>
        <v/>
      </c>
      <c r="H188">
        <f>IF($A188="","",G188-F188)</f>
        <v/>
      </c>
      <c r="I188" s="17">
        <f>IF($A188="","",IF(F188=0,IF(H188=0,0,1),ABS(H188)/F188))</f>
        <v/>
      </c>
      <c r="J188" s="18">
        <f>IF($A188="","",IF($E188="A",$E$1,IF($E188="B",$G$1,$I$1)))</f>
        <v/>
      </c>
      <c r="K188">
        <f>IF($A188="","",IF(H188=0,"MATCH",IF(I188&gt;J188,"RECOUNT","WITHIN TOLERANCE")))</f>
        <v/>
      </c>
      <c r="L188" s="5" t="n"/>
      <c r="M188">
        <f>IF(OR($A188="",$L188=""),"",L188-F188)</f>
        <v/>
      </c>
      <c r="N188" s="5" t="n"/>
      <c r="O188" s="5" t="n"/>
    </row>
    <row r="189">
      <c r="A189">
        <f>IF('Blind Count Entry'!A187="","",'Blind Count Entry'!A187)</f>
        <v/>
      </c>
      <c r="B189" s="16">
        <f>IF($A189="","",'Blind Count Entry'!B187)</f>
        <v/>
      </c>
      <c r="C189">
        <f>IF($A189="","",'Blind Count Entry'!C187)</f>
        <v/>
      </c>
      <c r="D189">
        <f>IF($A189="","",'Blind Count Entry'!D187)</f>
        <v/>
      </c>
      <c r="E189">
        <f>IF($A189="","",IFERROR(INDEX('ABC Analysis'!$F:$F,MATCH($C189,'ABC Analysis'!$A:$A,0)),""))</f>
        <v/>
      </c>
      <c r="F189">
        <f>IF($A189="","",IFERROR(INDEX('Master Inventory'!$E:$E,MATCH($C189,'Master Inventory'!$A:$A,0)),0))</f>
        <v/>
      </c>
      <c r="G189">
        <f>IF($A189="","",'Blind Count Entry'!F187)</f>
        <v/>
      </c>
      <c r="H189">
        <f>IF($A189="","",G189-F189)</f>
        <v/>
      </c>
      <c r="I189" s="17">
        <f>IF($A189="","",IF(F189=0,IF(H189=0,0,1),ABS(H189)/F189))</f>
        <v/>
      </c>
      <c r="J189" s="18">
        <f>IF($A189="","",IF($E189="A",$E$1,IF($E189="B",$G$1,$I$1)))</f>
        <v/>
      </c>
      <c r="K189">
        <f>IF($A189="","",IF(H189=0,"MATCH",IF(I189&gt;J189,"RECOUNT","WITHIN TOLERANCE")))</f>
        <v/>
      </c>
      <c r="L189" s="5" t="n"/>
      <c r="M189">
        <f>IF(OR($A189="",$L189=""),"",L189-F189)</f>
        <v/>
      </c>
      <c r="N189" s="5" t="n"/>
      <c r="O189" s="5" t="n"/>
    </row>
    <row r="190">
      <c r="A190">
        <f>IF('Blind Count Entry'!A188="","",'Blind Count Entry'!A188)</f>
        <v/>
      </c>
      <c r="B190" s="16">
        <f>IF($A190="","",'Blind Count Entry'!B188)</f>
        <v/>
      </c>
      <c r="C190">
        <f>IF($A190="","",'Blind Count Entry'!C188)</f>
        <v/>
      </c>
      <c r="D190">
        <f>IF($A190="","",'Blind Count Entry'!D188)</f>
        <v/>
      </c>
      <c r="E190">
        <f>IF($A190="","",IFERROR(INDEX('ABC Analysis'!$F:$F,MATCH($C190,'ABC Analysis'!$A:$A,0)),""))</f>
        <v/>
      </c>
      <c r="F190">
        <f>IF($A190="","",IFERROR(INDEX('Master Inventory'!$E:$E,MATCH($C190,'Master Inventory'!$A:$A,0)),0))</f>
        <v/>
      </c>
      <c r="G190">
        <f>IF($A190="","",'Blind Count Entry'!F188)</f>
        <v/>
      </c>
      <c r="H190">
        <f>IF($A190="","",G190-F190)</f>
        <v/>
      </c>
      <c r="I190" s="17">
        <f>IF($A190="","",IF(F190=0,IF(H190=0,0,1),ABS(H190)/F190))</f>
        <v/>
      </c>
      <c r="J190" s="18">
        <f>IF($A190="","",IF($E190="A",$E$1,IF($E190="B",$G$1,$I$1)))</f>
        <v/>
      </c>
      <c r="K190">
        <f>IF($A190="","",IF(H190=0,"MATCH",IF(I190&gt;J190,"RECOUNT","WITHIN TOLERANCE")))</f>
        <v/>
      </c>
      <c r="L190" s="5" t="n"/>
      <c r="M190">
        <f>IF(OR($A190="",$L190=""),"",L190-F190)</f>
        <v/>
      </c>
      <c r="N190" s="5" t="n"/>
      <c r="O190" s="5" t="n"/>
    </row>
    <row r="191">
      <c r="A191">
        <f>IF('Blind Count Entry'!A189="","",'Blind Count Entry'!A189)</f>
        <v/>
      </c>
      <c r="B191" s="16">
        <f>IF($A191="","",'Blind Count Entry'!B189)</f>
        <v/>
      </c>
      <c r="C191">
        <f>IF($A191="","",'Blind Count Entry'!C189)</f>
        <v/>
      </c>
      <c r="D191">
        <f>IF($A191="","",'Blind Count Entry'!D189)</f>
        <v/>
      </c>
      <c r="E191">
        <f>IF($A191="","",IFERROR(INDEX('ABC Analysis'!$F:$F,MATCH($C191,'ABC Analysis'!$A:$A,0)),""))</f>
        <v/>
      </c>
      <c r="F191">
        <f>IF($A191="","",IFERROR(INDEX('Master Inventory'!$E:$E,MATCH($C191,'Master Inventory'!$A:$A,0)),0))</f>
        <v/>
      </c>
      <c r="G191">
        <f>IF($A191="","",'Blind Count Entry'!F189)</f>
        <v/>
      </c>
      <c r="H191">
        <f>IF($A191="","",G191-F191)</f>
        <v/>
      </c>
      <c r="I191" s="17">
        <f>IF($A191="","",IF(F191=0,IF(H191=0,0,1),ABS(H191)/F191))</f>
        <v/>
      </c>
      <c r="J191" s="18">
        <f>IF($A191="","",IF($E191="A",$E$1,IF($E191="B",$G$1,$I$1)))</f>
        <v/>
      </c>
      <c r="K191">
        <f>IF($A191="","",IF(H191=0,"MATCH",IF(I191&gt;J191,"RECOUNT","WITHIN TOLERANCE")))</f>
        <v/>
      </c>
      <c r="L191" s="5" t="n"/>
      <c r="M191">
        <f>IF(OR($A191="",$L191=""),"",L191-F191)</f>
        <v/>
      </c>
      <c r="N191" s="5" t="n"/>
      <c r="O191" s="5" t="n"/>
    </row>
    <row r="192">
      <c r="A192">
        <f>IF('Blind Count Entry'!A190="","",'Blind Count Entry'!A190)</f>
        <v/>
      </c>
      <c r="B192" s="16">
        <f>IF($A192="","",'Blind Count Entry'!B190)</f>
        <v/>
      </c>
      <c r="C192">
        <f>IF($A192="","",'Blind Count Entry'!C190)</f>
        <v/>
      </c>
      <c r="D192">
        <f>IF($A192="","",'Blind Count Entry'!D190)</f>
        <v/>
      </c>
      <c r="E192">
        <f>IF($A192="","",IFERROR(INDEX('ABC Analysis'!$F:$F,MATCH($C192,'ABC Analysis'!$A:$A,0)),""))</f>
        <v/>
      </c>
      <c r="F192">
        <f>IF($A192="","",IFERROR(INDEX('Master Inventory'!$E:$E,MATCH($C192,'Master Inventory'!$A:$A,0)),0))</f>
        <v/>
      </c>
      <c r="G192">
        <f>IF($A192="","",'Blind Count Entry'!F190)</f>
        <v/>
      </c>
      <c r="H192">
        <f>IF($A192="","",G192-F192)</f>
        <v/>
      </c>
      <c r="I192" s="17">
        <f>IF($A192="","",IF(F192=0,IF(H192=0,0,1),ABS(H192)/F192))</f>
        <v/>
      </c>
      <c r="J192" s="18">
        <f>IF($A192="","",IF($E192="A",$E$1,IF($E192="B",$G$1,$I$1)))</f>
        <v/>
      </c>
      <c r="K192">
        <f>IF($A192="","",IF(H192=0,"MATCH",IF(I192&gt;J192,"RECOUNT","WITHIN TOLERANCE")))</f>
        <v/>
      </c>
      <c r="L192" s="5" t="n"/>
      <c r="M192">
        <f>IF(OR($A192="",$L192=""),"",L192-F192)</f>
        <v/>
      </c>
      <c r="N192" s="5" t="n"/>
      <c r="O192" s="5" t="n"/>
    </row>
    <row r="193">
      <c r="A193">
        <f>IF('Blind Count Entry'!A191="","",'Blind Count Entry'!A191)</f>
        <v/>
      </c>
      <c r="B193" s="16">
        <f>IF($A193="","",'Blind Count Entry'!B191)</f>
        <v/>
      </c>
      <c r="C193">
        <f>IF($A193="","",'Blind Count Entry'!C191)</f>
        <v/>
      </c>
      <c r="D193">
        <f>IF($A193="","",'Blind Count Entry'!D191)</f>
        <v/>
      </c>
      <c r="E193">
        <f>IF($A193="","",IFERROR(INDEX('ABC Analysis'!$F:$F,MATCH($C193,'ABC Analysis'!$A:$A,0)),""))</f>
        <v/>
      </c>
      <c r="F193">
        <f>IF($A193="","",IFERROR(INDEX('Master Inventory'!$E:$E,MATCH($C193,'Master Inventory'!$A:$A,0)),0))</f>
        <v/>
      </c>
      <c r="G193">
        <f>IF($A193="","",'Blind Count Entry'!F191)</f>
        <v/>
      </c>
      <c r="H193">
        <f>IF($A193="","",G193-F193)</f>
        <v/>
      </c>
      <c r="I193" s="17">
        <f>IF($A193="","",IF(F193=0,IF(H193=0,0,1),ABS(H193)/F193))</f>
        <v/>
      </c>
      <c r="J193" s="18">
        <f>IF($A193="","",IF($E193="A",$E$1,IF($E193="B",$G$1,$I$1)))</f>
        <v/>
      </c>
      <c r="K193">
        <f>IF($A193="","",IF(H193=0,"MATCH",IF(I193&gt;J193,"RECOUNT","WITHIN TOLERANCE")))</f>
        <v/>
      </c>
      <c r="L193" s="5" t="n"/>
      <c r="M193">
        <f>IF(OR($A193="",$L193=""),"",L193-F193)</f>
        <v/>
      </c>
      <c r="N193" s="5" t="n"/>
      <c r="O193" s="5" t="n"/>
    </row>
    <row r="194">
      <c r="A194">
        <f>IF('Blind Count Entry'!A192="","",'Blind Count Entry'!A192)</f>
        <v/>
      </c>
      <c r="B194" s="16">
        <f>IF($A194="","",'Blind Count Entry'!B192)</f>
        <v/>
      </c>
      <c r="C194">
        <f>IF($A194="","",'Blind Count Entry'!C192)</f>
        <v/>
      </c>
      <c r="D194">
        <f>IF($A194="","",'Blind Count Entry'!D192)</f>
        <v/>
      </c>
      <c r="E194">
        <f>IF($A194="","",IFERROR(INDEX('ABC Analysis'!$F:$F,MATCH($C194,'ABC Analysis'!$A:$A,0)),""))</f>
        <v/>
      </c>
      <c r="F194">
        <f>IF($A194="","",IFERROR(INDEX('Master Inventory'!$E:$E,MATCH($C194,'Master Inventory'!$A:$A,0)),0))</f>
        <v/>
      </c>
      <c r="G194">
        <f>IF($A194="","",'Blind Count Entry'!F192)</f>
        <v/>
      </c>
      <c r="H194">
        <f>IF($A194="","",G194-F194)</f>
        <v/>
      </c>
      <c r="I194" s="17">
        <f>IF($A194="","",IF(F194=0,IF(H194=0,0,1),ABS(H194)/F194))</f>
        <v/>
      </c>
      <c r="J194" s="18">
        <f>IF($A194="","",IF($E194="A",$E$1,IF($E194="B",$G$1,$I$1)))</f>
        <v/>
      </c>
      <c r="K194">
        <f>IF($A194="","",IF(H194=0,"MATCH",IF(I194&gt;J194,"RECOUNT","WITHIN TOLERANCE")))</f>
        <v/>
      </c>
      <c r="L194" s="5" t="n"/>
      <c r="M194">
        <f>IF(OR($A194="",$L194=""),"",L194-F194)</f>
        <v/>
      </c>
      <c r="N194" s="5" t="n"/>
      <c r="O194" s="5" t="n"/>
    </row>
    <row r="195">
      <c r="A195">
        <f>IF('Blind Count Entry'!A193="","",'Blind Count Entry'!A193)</f>
        <v/>
      </c>
      <c r="B195" s="16">
        <f>IF($A195="","",'Blind Count Entry'!B193)</f>
        <v/>
      </c>
      <c r="C195">
        <f>IF($A195="","",'Blind Count Entry'!C193)</f>
        <v/>
      </c>
      <c r="D195">
        <f>IF($A195="","",'Blind Count Entry'!D193)</f>
        <v/>
      </c>
      <c r="E195">
        <f>IF($A195="","",IFERROR(INDEX('ABC Analysis'!$F:$F,MATCH($C195,'ABC Analysis'!$A:$A,0)),""))</f>
        <v/>
      </c>
      <c r="F195">
        <f>IF($A195="","",IFERROR(INDEX('Master Inventory'!$E:$E,MATCH($C195,'Master Inventory'!$A:$A,0)),0))</f>
        <v/>
      </c>
      <c r="G195">
        <f>IF($A195="","",'Blind Count Entry'!F193)</f>
        <v/>
      </c>
      <c r="H195">
        <f>IF($A195="","",G195-F195)</f>
        <v/>
      </c>
      <c r="I195" s="17">
        <f>IF($A195="","",IF(F195=0,IF(H195=0,0,1),ABS(H195)/F195))</f>
        <v/>
      </c>
      <c r="J195" s="18">
        <f>IF($A195="","",IF($E195="A",$E$1,IF($E195="B",$G$1,$I$1)))</f>
        <v/>
      </c>
      <c r="K195">
        <f>IF($A195="","",IF(H195=0,"MATCH",IF(I195&gt;J195,"RECOUNT","WITHIN TOLERANCE")))</f>
        <v/>
      </c>
      <c r="L195" s="5" t="n"/>
      <c r="M195">
        <f>IF(OR($A195="",$L195=""),"",L195-F195)</f>
        <v/>
      </c>
      <c r="N195" s="5" t="n"/>
      <c r="O195" s="5" t="n"/>
    </row>
    <row r="196">
      <c r="A196">
        <f>IF('Blind Count Entry'!A194="","",'Blind Count Entry'!A194)</f>
        <v/>
      </c>
      <c r="B196" s="16">
        <f>IF($A196="","",'Blind Count Entry'!B194)</f>
        <v/>
      </c>
      <c r="C196">
        <f>IF($A196="","",'Blind Count Entry'!C194)</f>
        <v/>
      </c>
      <c r="D196">
        <f>IF($A196="","",'Blind Count Entry'!D194)</f>
        <v/>
      </c>
      <c r="E196">
        <f>IF($A196="","",IFERROR(INDEX('ABC Analysis'!$F:$F,MATCH($C196,'ABC Analysis'!$A:$A,0)),""))</f>
        <v/>
      </c>
      <c r="F196">
        <f>IF($A196="","",IFERROR(INDEX('Master Inventory'!$E:$E,MATCH($C196,'Master Inventory'!$A:$A,0)),0))</f>
        <v/>
      </c>
      <c r="G196">
        <f>IF($A196="","",'Blind Count Entry'!F194)</f>
        <v/>
      </c>
      <c r="H196">
        <f>IF($A196="","",G196-F196)</f>
        <v/>
      </c>
      <c r="I196" s="17">
        <f>IF($A196="","",IF(F196=0,IF(H196=0,0,1),ABS(H196)/F196))</f>
        <v/>
      </c>
      <c r="J196" s="18">
        <f>IF($A196="","",IF($E196="A",$E$1,IF($E196="B",$G$1,$I$1)))</f>
        <v/>
      </c>
      <c r="K196">
        <f>IF($A196="","",IF(H196=0,"MATCH",IF(I196&gt;J196,"RECOUNT","WITHIN TOLERANCE")))</f>
        <v/>
      </c>
      <c r="L196" s="5" t="n"/>
      <c r="M196">
        <f>IF(OR($A196="",$L196=""),"",L196-F196)</f>
        <v/>
      </c>
      <c r="N196" s="5" t="n"/>
      <c r="O196" s="5" t="n"/>
    </row>
    <row r="197">
      <c r="A197">
        <f>IF('Blind Count Entry'!A195="","",'Blind Count Entry'!A195)</f>
        <v/>
      </c>
      <c r="B197" s="16">
        <f>IF($A197="","",'Blind Count Entry'!B195)</f>
        <v/>
      </c>
      <c r="C197">
        <f>IF($A197="","",'Blind Count Entry'!C195)</f>
        <v/>
      </c>
      <c r="D197">
        <f>IF($A197="","",'Blind Count Entry'!D195)</f>
        <v/>
      </c>
      <c r="E197">
        <f>IF($A197="","",IFERROR(INDEX('ABC Analysis'!$F:$F,MATCH($C197,'ABC Analysis'!$A:$A,0)),""))</f>
        <v/>
      </c>
      <c r="F197">
        <f>IF($A197="","",IFERROR(INDEX('Master Inventory'!$E:$E,MATCH($C197,'Master Inventory'!$A:$A,0)),0))</f>
        <v/>
      </c>
      <c r="G197">
        <f>IF($A197="","",'Blind Count Entry'!F195)</f>
        <v/>
      </c>
      <c r="H197">
        <f>IF($A197="","",G197-F197)</f>
        <v/>
      </c>
      <c r="I197" s="17">
        <f>IF($A197="","",IF(F197=0,IF(H197=0,0,1),ABS(H197)/F197))</f>
        <v/>
      </c>
      <c r="J197" s="18">
        <f>IF($A197="","",IF($E197="A",$E$1,IF($E197="B",$G$1,$I$1)))</f>
        <v/>
      </c>
      <c r="K197">
        <f>IF($A197="","",IF(H197=0,"MATCH",IF(I197&gt;J197,"RECOUNT","WITHIN TOLERANCE")))</f>
        <v/>
      </c>
      <c r="L197" s="5" t="n"/>
      <c r="M197">
        <f>IF(OR($A197="",$L197=""),"",L197-F197)</f>
        <v/>
      </c>
      <c r="N197" s="5" t="n"/>
      <c r="O197" s="5" t="n"/>
    </row>
    <row r="198">
      <c r="A198">
        <f>IF('Blind Count Entry'!A196="","",'Blind Count Entry'!A196)</f>
        <v/>
      </c>
      <c r="B198" s="16">
        <f>IF($A198="","",'Blind Count Entry'!B196)</f>
        <v/>
      </c>
      <c r="C198">
        <f>IF($A198="","",'Blind Count Entry'!C196)</f>
        <v/>
      </c>
      <c r="D198">
        <f>IF($A198="","",'Blind Count Entry'!D196)</f>
        <v/>
      </c>
      <c r="E198">
        <f>IF($A198="","",IFERROR(INDEX('ABC Analysis'!$F:$F,MATCH($C198,'ABC Analysis'!$A:$A,0)),""))</f>
        <v/>
      </c>
      <c r="F198">
        <f>IF($A198="","",IFERROR(INDEX('Master Inventory'!$E:$E,MATCH($C198,'Master Inventory'!$A:$A,0)),0))</f>
        <v/>
      </c>
      <c r="G198">
        <f>IF($A198="","",'Blind Count Entry'!F196)</f>
        <v/>
      </c>
      <c r="H198">
        <f>IF($A198="","",G198-F198)</f>
        <v/>
      </c>
      <c r="I198" s="17">
        <f>IF($A198="","",IF(F198=0,IF(H198=0,0,1),ABS(H198)/F198))</f>
        <v/>
      </c>
      <c r="J198" s="18">
        <f>IF($A198="","",IF($E198="A",$E$1,IF($E198="B",$G$1,$I$1)))</f>
        <v/>
      </c>
      <c r="K198">
        <f>IF($A198="","",IF(H198=0,"MATCH",IF(I198&gt;J198,"RECOUNT","WITHIN TOLERANCE")))</f>
        <v/>
      </c>
      <c r="L198" s="5" t="n"/>
      <c r="M198">
        <f>IF(OR($A198="",$L198=""),"",L198-F198)</f>
        <v/>
      </c>
      <c r="N198" s="5" t="n"/>
      <c r="O198" s="5" t="n"/>
    </row>
    <row r="199">
      <c r="A199">
        <f>IF('Blind Count Entry'!A197="","",'Blind Count Entry'!A197)</f>
        <v/>
      </c>
      <c r="B199" s="16">
        <f>IF($A199="","",'Blind Count Entry'!B197)</f>
        <v/>
      </c>
      <c r="C199">
        <f>IF($A199="","",'Blind Count Entry'!C197)</f>
        <v/>
      </c>
      <c r="D199">
        <f>IF($A199="","",'Blind Count Entry'!D197)</f>
        <v/>
      </c>
      <c r="E199">
        <f>IF($A199="","",IFERROR(INDEX('ABC Analysis'!$F:$F,MATCH($C199,'ABC Analysis'!$A:$A,0)),""))</f>
        <v/>
      </c>
      <c r="F199">
        <f>IF($A199="","",IFERROR(INDEX('Master Inventory'!$E:$E,MATCH($C199,'Master Inventory'!$A:$A,0)),0))</f>
        <v/>
      </c>
      <c r="G199">
        <f>IF($A199="","",'Blind Count Entry'!F197)</f>
        <v/>
      </c>
      <c r="H199">
        <f>IF($A199="","",G199-F199)</f>
        <v/>
      </c>
      <c r="I199" s="17">
        <f>IF($A199="","",IF(F199=0,IF(H199=0,0,1),ABS(H199)/F199))</f>
        <v/>
      </c>
      <c r="J199" s="18">
        <f>IF($A199="","",IF($E199="A",$E$1,IF($E199="B",$G$1,$I$1)))</f>
        <v/>
      </c>
      <c r="K199">
        <f>IF($A199="","",IF(H199=0,"MATCH",IF(I199&gt;J199,"RECOUNT","WITHIN TOLERANCE")))</f>
        <v/>
      </c>
      <c r="L199" s="5" t="n"/>
      <c r="M199">
        <f>IF(OR($A199="",$L199=""),"",L199-F199)</f>
        <v/>
      </c>
      <c r="N199" s="5" t="n"/>
      <c r="O199" s="5" t="n"/>
    </row>
    <row r="200">
      <c r="A200">
        <f>IF('Blind Count Entry'!A198="","",'Blind Count Entry'!A198)</f>
        <v/>
      </c>
      <c r="B200" s="16">
        <f>IF($A200="","",'Blind Count Entry'!B198)</f>
        <v/>
      </c>
      <c r="C200">
        <f>IF($A200="","",'Blind Count Entry'!C198)</f>
        <v/>
      </c>
      <c r="D200">
        <f>IF($A200="","",'Blind Count Entry'!D198)</f>
        <v/>
      </c>
      <c r="E200">
        <f>IF($A200="","",IFERROR(INDEX('ABC Analysis'!$F:$F,MATCH($C200,'ABC Analysis'!$A:$A,0)),""))</f>
        <v/>
      </c>
      <c r="F200">
        <f>IF($A200="","",IFERROR(INDEX('Master Inventory'!$E:$E,MATCH($C200,'Master Inventory'!$A:$A,0)),0))</f>
        <v/>
      </c>
      <c r="G200">
        <f>IF($A200="","",'Blind Count Entry'!F198)</f>
        <v/>
      </c>
      <c r="H200">
        <f>IF($A200="","",G200-F200)</f>
        <v/>
      </c>
      <c r="I200" s="17">
        <f>IF($A200="","",IF(F200=0,IF(H200=0,0,1),ABS(H200)/F200))</f>
        <v/>
      </c>
      <c r="J200" s="18">
        <f>IF($A200="","",IF($E200="A",$E$1,IF($E200="B",$G$1,$I$1)))</f>
        <v/>
      </c>
      <c r="K200">
        <f>IF($A200="","",IF(H200=0,"MATCH",IF(I200&gt;J200,"RECOUNT","WITHIN TOLERANCE")))</f>
        <v/>
      </c>
      <c r="L200" s="5" t="n"/>
      <c r="M200">
        <f>IF(OR($A200="",$L200=""),"",L200-F200)</f>
        <v/>
      </c>
      <c r="N200" s="5" t="n"/>
      <c r="O200" s="5" t="n"/>
    </row>
    <row r="201">
      <c r="A201">
        <f>IF('Blind Count Entry'!A199="","",'Blind Count Entry'!A199)</f>
        <v/>
      </c>
      <c r="B201" s="16">
        <f>IF($A201="","",'Blind Count Entry'!B199)</f>
        <v/>
      </c>
      <c r="C201">
        <f>IF($A201="","",'Blind Count Entry'!C199)</f>
        <v/>
      </c>
      <c r="D201">
        <f>IF($A201="","",'Blind Count Entry'!D199)</f>
        <v/>
      </c>
      <c r="E201">
        <f>IF($A201="","",IFERROR(INDEX('ABC Analysis'!$F:$F,MATCH($C201,'ABC Analysis'!$A:$A,0)),""))</f>
        <v/>
      </c>
      <c r="F201">
        <f>IF($A201="","",IFERROR(INDEX('Master Inventory'!$E:$E,MATCH($C201,'Master Inventory'!$A:$A,0)),0))</f>
        <v/>
      </c>
      <c r="G201">
        <f>IF($A201="","",'Blind Count Entry'!F199)</f>
        <v/>
      </c>
      <c r="H201">
        <f>IF($A201="","",G201-F201)</f>
        <v/>
      </c>
      <c r="I201" s="17">
        <f>IF($A201="","",IF(F201=0,IF(H201=0,0,1),ABS(H201)/F201))</f>
        <v/>
      </c>
      <c r="J201" s="18">
        <f>IF($A201="","",IF($E201="A",$E$1,IF($E201="B",$G$1,$I$1)))</f>
        <v/>
      </c>
      <c r="K201">
        <f>IF($A201="","",IF(H201=0,"MATCH",IF(I201&gt;J201,"RECOUNT","WITHIN TOLERANCE")))</f>
        <v/>
      </c>
      <c r="L201" s="5" t="n"/>
      <c r="M201">
        <f>IF(OR($A201="",$L201=""),"",L201-F201)</f>
        <v/>
      </c>
      <c r="N201" s="5" t="n"/>
      <c r="O201" s="5" t="n"/>
    </row>
    <row r="202">
      <c r="A202">
        <f>IF('Blind Count Entry'!A200="","",'Blind Count Entry'!A200)</f>
        <v/>
      </c>
      <c r="B202" s="16">
        <f>IF($A202="","",'Blind Count Entry'!B200)</f>
        <v/>
      </c>
      <c r="C202">
        <f>IF($A202="","",'Blind Count Entry'!C200)</f>
        <v/>
      </c>
      <c r="D202">
        <f>IF($A202="","",'Blind Count Entry'!D200)</f>
        <v/>
      </c>
      <c r="E202">
        <f>IF($A202="","",IFERROR(INDEX('ABC Analysis'!$F:$F,MATCH($C202,'ABC Analysis'!$A:$A,0)),""))</f>
        <v/>
      </c>
      <c r="F202">
        <f>IF($A202="","",IFERROR(INDEX('Master Inventory'!$E:$E,MATCH($C202,'Master Inventory'!$A:$A,0)),0))</f>
        <v/>
      </c>
      <c r="G202">
        <f>IF($A202="","",'Blind Count Entry'!F200)</f>
        <v/>
      </c>
      <c r="H202">
        <f>IF($A202="","",G202-F202)</f>
        <v/>
      </c>
      <c r="I202" s="17">
        <f>IF($A202="","",IF(F202=0,IF(H202=0,0,1),ABS(H202)/F202))</f>
        <v/>
      </c>
      <c r="J202" s="18">
        <f>IF($A202="","",IF($E202="A",$E$1,IF($E202="B",$G$1,$I$1)))</f>
        <v/>
      </c>
      <c r="K202">
        <f>IF($A202="","",IF(H202=0,"MATCH",IF(I202&gt;J202,"RECOUNT","WITHIN TOLERANCE")))</f>
        <v/>
      </c>
      <c r="L202" s="5" t="n"/>
      <c r="M202">
        <f>IF(OR($A202="",$L202=""),"",L202-F202)</f>
        <v/>
      </c>
      <c r="N202" s="5" t="n"/>
      <c r="O202" s="5" t="n"/>
    </row>
    <row r="203">
      <c r="A203">
        <f>IF('Blind Count Entry'!A201="","",'Blind Count Entry'!A201)</f>
        <v/>
      </c>
      <c r="B203" s="16">
        <f>IF($A203="","",'Blind Count Entry'!B201)</f>
        <v/>
      </c>
      <c r="C203">
        <f>IF($A203="","",'Blind Count Entry'!C201)</f>
        <v/>
      </c>
      <c r="D203">
        <f>IF($A203="","",'Blind Count Entry'!D201)</f>
        <v/>
      </c>
      <c r="E203">
        <f>IF($A203="","",IFERROR(INDEX('ABC Analysis'!$F:$F,MATCH($C203,'ABC Analysis'!$A:$A,0)),""))</f>
        <v/>
      </c>
      <c r="F203">
        <f>IF($A203="","",IFERROR(INDEX('Master Inventory'!$E:$E,MATCH($C203,'Master Inventory'!$A:$A,0)),0))</f>
        <v/>
      </c>
      <c r="G203">
        <f>IF($A203="","",'Blind Count Entry'!F201)</f>
        <v/>
      </c>
      <c r="H203">
        <f>IF($A203="","",G203-F203)</f>
        <v/>
      </c>
      <c r="I203" s="17">
        <f>IF($A203="","",IF(F203=0,IF(H203=0,0,1),ABS(H203)/F203))</f>
        <v/>
      </c>
      <c r="J203" s="18">
        <f>IF($A203="","",IF($E203="A",$E$1,IF($E203="B",$G$1,$I$1)))</f>
        <v/>
      </c>
      <c r="K203">
        <f>IF($A203="","",IF(H203=0,"MATCH",IF(I203&gt;J203,"RECOUNT","WITHIN TOLERANCE")))</f>
        <v/>
      </c>
      <c r="L203" s="5" t="n"/>
      <c r="M203">
        <f>IF(OR($A203="",$L203=""),"",L203-F203)</f>
        <v/>
      </c>
      <c r="N203" s="5" t="n"/>
      <c r="O203" s="5" t="n"/>
    </row>
    <row r="204">
      <c r="A204">
        <f>IF('Blind Count Entry'!A202="","",'Blind Count Entry'!A202)</f>
        <v/>
      </c>
      <c r="B204" s="16">
        <f>IF($A204="","",'Blind Count Entry'!B202)</f>
        <v/>
      </c>
      <c r="C204">
        <f>IF($A204="","",'Blind Count Entry'!C202)</f>
        <v/>
      </c>
      <c r="D204">
        <f>IF($A204="","",'Blind Count Entry'!D202)</f>
        <v/>
      </c>
      <c r="E204">
        <f>IF($A204="","",IFERROR(INDEX('ABC Analysis'!$F:$F,MATCH($C204,'ABC Analysis'!$A:$A,0)),""))</f>
        <v/>
      </c>
      <c r="F204">
        <f>IF($A204="","",IFERROR(INDEX('Master Inventory'!$E:$E,MATCH($C204,'Master Inventory'!$A:$A,0)),0))</f>
        <v/>
      </c>
      <c r="G204">
        <f>IF($A204="","",'Blind Count Entry'!F202)</f>
        <v/>
      </c>
      <c r="H204">
        <f>IF($A204="","",G204-F204)</f>
        <v/>
      </c>
      <c r="I204" s="17">
        <f>IF($A204="","",IF(F204=0,IF(H204=0,0,1),ABS(H204)/F204))</f>
        <v/>
      </c>
      <c r="J204" s="18">
        <f>IF($A204="","",IF($E204="A",$E$1,IF($E204="B",$G$1,$I$1)))</f>
        <v/>
      </c>
      <c r="K204">
        <f>IF($A204="","",IF(H204=0,"MATCH",IF(I204&gt;J204,"RECOUNT","WITHIN TOLERANCE")))</f>
        <v/>
      </c>
      <c r="L204" s="5" t="n"/>
      <c r="M204">
        <f>IF(OR($A204="",$L204=""),"",L204-F204)</f>
        <v/>
      </c>
      <c r="N204" s="5" t="n"/>
      <c r="O204" s="5" t="n"/>
    </row>
    <row r="205">
      <c r="A205">
        <f>IF('Blind Count Entry'!A203="","",'Blind Count Entry'!A203)</f>
        <v/>
      </c>
      <c r="B205" s="16">
        <f>IF($A205="","",'Blind Count Entry'!B203)</f>
        <v/>
      </c>
      <c r="C205">
        <f>IF($A205="","",'Blind Count Entry'!C203)</f>
        <v/>
      </c>
      <c r="D205">
        <f>IF($A205="","",'Blind Count Entry'!D203)</f>
        <v/>
      </c>
      <c r="E205">
        <f>IF($A205="","",IFERROR(INDEX('ABC Analysis'!$F:$F,MATCH($C205,'ABC Analysis'!$A:$A,0)),""))</f>
        <v/>
      </c>
      <c r="F205">
        <f>IF($A205="","",IFERROR(INDEX('Master Inventory'!$E:$E,MATCH($C205,'Master Inventory'!$A:$A,0)),0))</f>
        <v/>
      </c>
      <c r="G205">
        <f>IF($A205="","",'Blind Count Entry'!F203)</f>
        <v/>
      </c>
      <c r="H205">
        <f>IF($A205="","",G205-F205)</f>
        <v/>
      </c>
      <c r="I205" s="17">
        <f>IF($A205="","",IF(F205=0,IF(H205=0,0,1),ABS(H205)/F205))</f>
        <v/>
      </c>
      <c r="J205" s="18">
        <f>IF($A205="","",IF($E205="A",$E$1,IF($E205="B",$G$1,$I$1)))</f>
        <v/>
      </c>
      <c r="K205">
        <f>IF($A205="","",IF(H205=0,"MATCH",IF(I205&gt;J205,"RECOUNT","WITHIN TOLERANCE")))</f>
        <v/>
      </c>
      <c r="L205" s="5" t="n"/>
      <c r="M205">
        <f>IF(OR($A205="",$L205=""),"",L205-F205)</f>
        <v/>
      </c>
      <c r="N205" s="5" t="n"/>
      <c r="O205" s="5" t="n"/>
    </row>
    <row r="206">
      <c r="A206">
        <f>IF('Blind Count Entry'!A204="","",'Blind Count Entry'!A204)</f>
        <v/>
      </c>
      <c r="B206" s="16">
        <f>IF($A206="","",'Blind Count Entry'!B204)</f>
        <v/>
      </c>
      <c r="C206">
        <f>IF($A206="","",'Blind Count Entry'!C204)</f>
        <v/>
      </c>
      <c r="D206">
        <f>IF($A206="","",'Blind Count Entry'!D204)</f>
        <v/>
      </c>
      <c r="E206">
        <f>IF($A206="","",IFERROR(INDEX('ABC Analysis'!$F:$F,MATCH($C206,'ABC Analysis'!$A:$A,0)),""))</f>
        <v/>
      </c>
      <c r="F206">
        <f>IF($A206="","",IFERROR(INDEX('Master Inventory'!$E:$E,MATCH($C206,'Master Inventory'!$A:$A,0)),0))</f>
        <v/>
      </c>
      <c r="G206">
        <f>IF($A206="","",'Blind Count Entry'!F204)</f>
        <v/>
      </c>
      <c r="H206">
        <f>IF($A206="","",G206-F206)</f>
        <v/>
      </c>
      <c r="I206" s="17">
        <f>IF($A206="","",IF(F206=0,IF(H206=0,0,1),ABS(H206)/F206))</f>
        <v/>
      </c>
      <c r="J206" s="18">
        <f>IF($A206="","",IF($E206="A",$E$1,IF($E206="B",$G$1,$I$1)))</f>
        <v/>
      </c>
      <c r="K206">
        <f>IF($A206="","",IF(H206=0,"MATCH",IF(I206&gt;J206,"RECOUNT","WITHIN TOLERANCE")))</f>
        <v/>
      </c>
      <c r="L206" s="5" t="n"/>
      <c r="M206">
        <f>IF(OR($A206="",$L206=""),"",L206-F206)</f>
        <v/>
      </c>
      <c r="N206" s="5" t="n"/>
      <c r="O206" s="5" t="n"/>
    </row>
    <row r="207">
      <c r="A207">
        <f>IF('Blind Count Entry'!A205="","",'Blind Count Entry'!A205)</f>
        <v/>
      </c>
      <c r="B207" s="16">
        <f>IF($A207="","",'Blind Count Entry'!B205)</f>
        <v/>
      </c>
      <c r="C207">
        <f>IF($A207="","",'Blind Count Entry'!C205)</f>
        <v/>
      </c>
      <c r="D207">
        <f>IF($A207="","",'Blind Count Entry'!D205)</f>
        <v/>
      </c>
      <c r="E207">
        <f>IF($A207="","",IFERROR(INDEX('ABC Analysis'!$F:$F,MATCH($C207,'ABC Analysis'!$A:$A,0)),""))</f>
        <v/>
      </c>
      <c r="F207">
        <f>IF($A207="","",IFERROR(INDEX('Master Inventory'!$E:$E,MATCH($C207,'Master Inventory'!$A:$A,0)),0))</f>
        <v/>
      </c>
      <c r="G207">
        <f>IF($A207="","",'Blind Count Entry'!F205)</f>
        <v/>
      </c>
      <c r="H207">
        <f>IF($A207="","",G207-F207)</f>
        <v/>
      </c>
      <c r="I207" s="17">
        <f>IF($A207="","",IF(F207=0,IF(H207=0,0,1),ABS(H207)/F207))</f>
        <v/>
      </c>
      <c r="J207" s="18">
        <f>IF($A207="","",IF($E207="A",$E$1,IF($E207="B",$G$1,$I$1)))</f>
        <v/>
      </c>
      <c r="K207">
        <f>IF($A207="","",IF(H207=0,"MATCH",IF(I207&gt;J207,"RECOUNT","WITHIN TOLERANCE")))</f>
        <v/>
      </c>
      <c r="L207" s="5" t="n"/>
      <c r="M207">
        <f>IF(OR($A207="",$L207=""),"",L207-F207)</f>
        <v/>
      </c>
      <c r="N207" s="5" t="n"/>
      <c r="O207" s="5" t="n"/>
    </row>
    <row r="208">
      <c r="A208">
        <f>IF('Blind Count Entry'!A206="","",'Blind Count Entry'!A206)</f>
        <v/>
      </c>
      <c r="B208" s="16">
        <f>IF($A208="","",'Blind Count Entry'!B206)</f>
        <v/>
      </c>
      <c r="C208">
        <f>IF($A208="","",'Blind Count Entry'!C206)</f>
        <v/>
      </c>
      <c r="D208">
        <f>IF($A208="","",'Blind Count Entry'!D206)</f>
        <v/>
      </c>
      <c r="E208">
        <f>IF($A208="","",IFERROR(INDEX('ABC Analysis'!$F:$F,MATCH($C208,'ABC Analysis'!$A:$A,0)),""))</f>
        <v/>
      </c>
      <c r="F208">
        <f>IF($A208="","",IFERROR(INDEX('Master Inventory'!$E:$E,MATCH($C208,'Master Inventory'!$A:$A,0)),0))</f>
        <v/>
      </c>
      <c r="G208">
        <f>IF($A208="","",'Blind Count Entry'!F206)</f>
        <v/>
      </c>
      <c r="H208">
        <f>IF($A208="","",G208-F208)</f>
        <v/>
      </c>
      <c r="I208" s="17">
        <f>IF($A208="","",IF(F208=0,IF(H208=0,0,1),ABS(H208)/F208))</f>
        <v/>
      </c>
      <c r="J208" s="18">
        <f>IF($A208="","",IF($E208="A",$E$1,IF($E208="B",$G$1,$I$1)))</f>
        <v/>
      </c>
      <c r="K208">
        <f>IF($A208="","",IF(H208=0,"MATCH",IF(I208&gt;J208,"RECOUNT","WITHIN TOLERANCE")))</f>
        <v/>
      </c>
      <c r="L208" s="5" t="n"/>
      <c r="M208">
        <f>IF(OR($A208="",$L208=""),"",L208-F208)</f>
        <v/>
      </c>
      <c r="N208" s="5" t="n"/>
      <c r="O208" s="5" t="n"/>
    </row>
    <row r="209">
      <c r="A209">
        <f>IF('Blind Count Entry'!A207="","",'Blind Count Entry'!A207)</f>
        <v/>
      </c>
      <c r="B209" s="16">
        <f>IF($A209="","",'Blind Count Entry'!B207)</f>
        <v/>
      </c>
      <c r="C209">
        <f>IF($A209="","",'Blind Count Entry'!C207)</f>
        <v/>
      </c>
      <c r="D209">
        <f>IF($A209="","",'Blind Count Entry'!D207)</f>
        <v/>
      </c>
      <c r="E209">
        <f>IF($A209="","",IFERROR(INDEX('ABC Analysis'!$F:$F,MATCH($C209,'ABC Analysis'!$A:$A,0)),""))</f>
        <v/>
      </c>
      <c r="F209">
        <f>IF($A209="","",IFERROR(INDEX('Master Inventory'!$E:$E,MATCH($C209,'Master Inventory'!$A:$A,0)),0))</f>
        <v/>
      </c>
      <c r="G209">
        <f>IF($A209="","",'Blind Count Entry'!F207)</f>
        <v/>
      </c>
      <c r="H209">
        <f>IF($A209="","",G209-F209)</f>
        <v/>
      </c>
      <c r="I209" s="17">
        <f>IF($A209="","",IF(F209=0,IF(H209=0,0,1),ABS(H209)/F209))</f>
        <v/>
      </c>
      <c r="J209" s="18">
        <f>IF($A209="","",IF($E209="A",$E$1,IF($E209="B",$G$1,$I$1)))</f>
        <v/>
      </c>
      <c r="K209">
        <f>IF($A209="","",IF(H209=0,"MATCH",IF(I209&gt;J209,"RECOUNT","WITHIN TOLERANCE")))</f>
        <v/>
      </c>
      <c r="L209" s="5" t="n"/>
      <c r="M209">
        <f>IF(OR($A209="",$L209=""),"",L209-F209)</f>
        <v/>
      </c>
      <c r="N209" s="5" t="n"/>
      <c r="O209" s="5" t="n"/>
    </row>
    <row r="210">
      <c r="A210">
        <f>IF('Blind Count Entry'!A208="","",'Blind Count Entry'!A208)</f>
        <v/>
      </c>
      <c r="B210" s="16">
        <f>IF($A210="","",'Blind Count Entry'!B208)</f>
        <v/>
      </c>
      <c r="C210">
        <f>IF($A210="","",'Blind Count Entry'!C208)</f>
        <v/>
      </c>
      <c r="D210">
        <f>IF($A210="","",'Blind Count Entry'!D208)</f>
        <v/>
      </c>
      <c r="E210">
        <f>IF($A210="","",IFERROR(INDEX('ABC Analysis'!$F:$F,MATCH($C210,'ABC Analysis'!$A:$A,0)),""))</f>
        <v/>
      </c>
      <c r="F210">
        <f>IF($A210="","",IFERROR(INDEX('Master Inventory'!$E:$E,MATCH($C210,'Master Inventory'!$A:$A,0)),0))</f>
        <v/>
      </c>
      <c r="G210">
        <f>IF($A210="","",'Blind Count Entry'!F208)</f>
        <v/>
      </c>
      <c r="H210">
        <f>IF($A210="","",G210-F210)</f>
        <v/>
      </c>
      <c r="I210" s="17">
        <f>IF($A210="","",IF(F210=0,IF(H210=0,0,1),ABS(H210)/F210))</f>
        <v/>
      </c>
      <c r="J210" s="18">
        <f>IF($A210="","",IF($E210="A",$E$1,IF($E210="B",$G$1,$I$1)))</f>
        <v/>
      </c>
      <c r="K210">
        <f>IF($A210="","",IF(H210=0,"MATCH",IF(I210&gt;J210,"RECOUNT","WITHIN TOLERANCE")))</f>
        <v/>
      </c>
      <c r="L210" s="5" t="n"/>
      <c r="M210">
        <f>IF(OR($A210="",$L210=""),"",L210-F210)</f>
        <v/>
      </c>
      <c r="N210" s="5" t="n"/>
      <c r="O210" s="5" t="n"/>
    </row>
    <row r="211">
      <c r="A211">
        <f>IF('Blind Count Entry'!A209="","",'Blind Count Entry'!A209)</f>
        <v/>
      </c>
      <c r="B211" s="16">
        <f>IF($A211="","",'Blind Count Entry'!B209)</f>
        <v/>
      </c>
      <c r="C211">
        <f>IF($A211="","",'Blind Count Entry'!C209)</f>
        <v/>
      </c>
      <c r="D211">
        <f>IF($A211="","",'Blind Count Entry'!D209)</f>
        <v/>
      </c>
      <c r="E211">
        <f>IF($A211="","",IFERROR(INDEX('ABC Analysis'!$F:$F,MATCH($C211,'ABC Analysis'!$A:$A,0)),""))</f>
        <v/>
      </c>
      <c r="F211">
        <f>IF($A211="","",IFERROR(INDEX('Master Inventory'!$E:$E,MATCH($C211,'Master Inventory'!$A:$A,0)),0))</f>
        <v/>
      </c>
      <c r="G211">
        <f>IF($A211="","",'Blind Count Entry'!F209)</f>
        <v/>
      </c>
      <c r="H211">
        <f>IF($A211="","",G211-F211)</f>
        <v/>
      </c>
      <c r="I211" s="17">
        <f>IF($A211="","",IF(F211=0,IF(H211=0,0,1),ABS(H211)/F211))</f>
        <v/>
      </c>
      <c r="J211" s="18">
        <f>IF($A211="","",IF($E211="A",$E$1,IF($E211="B",$G$1,$I$1)))</f>
        <v/>
      </c>
      <c r="K211">
        <f>IF($A211="","",IF(H211=0,"MATCH",IF(I211&gt;J211,"RECOUNT","WITHIN TOLERANCE")))</f>
        <v/>
      </c>
      <c r="L211" s="5" t="n"/>
      <c r="M211">
        <f>IF(OR($A211="",$L211=""),"",L211-F211)</f>
        <v/>
      </c>
      <c r="N211" s="5" t="n"/>
      <c r="O211" s="5" t="n"/>
    </row>
    <row r="212">
      <c r="A212">
        <f>IF('Blind Count Entry'!A210="","",'Blind Count Entry'!A210)</f>
        <v/>
      </c>
      <c r="B212" s="16">
        <f>IF($A212="","",'Blind Count Entry'!B210)</f>
        <v/>
      </c>
      <c r="C212">
        <f>IF($A212="","",'Blind Count Entry'!C210)</f>
        <v/>
      </c>
      <c r="D212">
        <f>IF($A212="","",'Blind Count Entry'!D210)</f>
        <v/>
      </c>
      <c r="E212">
        <f>IF($A212="","",IFERROR(INDEX('ABC Analysis'!$F:$F,MATCH($C212,'ABC Analysis'!$A:$A,0)),""))</f>
        <v/>
      </c>
      <c r="F212">
        <f>IF($A212="","",IFERROR(INDEX('Master Inventory'!$E:$E,MATCH($C212,'Master Inventory'!$A:$A,0)),0))</f>
        <v/>
      </c>
      <c r="G212">
        <f>IF($A212="","",'Blind Count Entry'!F210)</f>
        <v/>
      </c>
      <c r="H212">
        <f>IF($A212="","",G212-F212)</f>
        <v/>
      </c>
      <c r="I212" s="17">
        <f>IF($A212="","",IF(F212=0,IF(H212=0,0,1),ABS(H212)/F212))</f>
        <v/>
      </c>
      <c r="J212" s="18">
        <f>IF($A212="","",IF($E212="A",$E$1,IF($E212="B",$G$1,$I$1)))</f>
        <v/>
      </c>
      <c r="K212">
        <f>IF($A212="","",IF(H212=0,"MATCH",IF(I212&gt;J212,"RECOUNT","WITHIN TOLERANCE")))</f>
        <v/>
      </c>
      <c r="L212" s="5" t="n"/>
      <c r="M212">
        <f>IF(OR($A212="",$L212=""),"",L212-F212)</f>
        <v/>
      </c>
      <c r="N212" s="5" t="n"/>
      <c r="O212" s="5" t="n"/>
    </row>
    <row r="213">
      <c r="A213">
        <f>IF('Blind Count Entry'!A211="","",'Blind Count Entry'!A211)</f>
        <v/>
      </c>
      <c r="B213" s="16">
        <f>IF($A213="","",'Blind Count Entry'!B211)</f>
        <v/>
      </c>
      <c r="C213">
        <f>IF($A213="","",'Blind Count Entry'!C211)</f>
        <v/>
      </c>
      <c r="D213">
        <f>IF($A213="","",'Blind Count Entry'!D211)</f>
        <v/>
      </c>
      <c r="E213">
        <f>IF($A213="","",IFERROR(INDEX('ABC Analysis'!$F:$F,MATCH($C213,'ABC Analysis'!$A:$A,0)),""))</f>
        <v/>
      </c>
      <c r="F213">
        <f>IF($A213="","",IFERROR(INDEX('Master Inventory'!$E:$E,MATCH($C213,'Master Inventory'!$A:$A,0)),0))</f>
        <v/>
      </c>
      <c r="G213">
        <f>IF($A213="","",'Blind Count Entry'!F211)</f>
        <v/>
      </c>
      <c r="H213">
        <f>IF($A213="","",G213-F213)</f>
        <v/>
      </c>
      <c r="I213" s="17">
        <f>IF($A213="","",IF(F213=0,IF(H213=0,0,1),ABS(H213)/F213))</f>
        <v/>
      </c>
      <c r="J213" s="18">
        <f>IF($A213="","",IF($E213="A",$E$1,IF($E213="B",$G$1,$I$1)))</f>
        <v/>
      </c>
      <c r="K213">
        <f>IF($A213="","",IF(H213=0,"MATCH",IF(I213&gt;J213,"RECOUNT","WITHIN TOLERANCE")))</f>
        <v/>
      </c>
      <c r="L213" s="5" t="n"/>
      <c r="M213">
        <f>IF(OR($A213="",$L213=""),"",L213-F213)</f>
        <v/>
      </c>
      <c r="N213" s="5" t="n"/>
      <c r="O213" s="5" t="n"/>
    </row>
    <row r="214">
      <c r="A214">
        <f>IF('Blind Count Entry'!A212="","",'Blind Count Entry'!A212)</f>
        <v/>
      </c>
      <c r="B214" s="16">
        <f>IF($A214="","",'Blind Count Entry'!B212)</f>
        <v/>
      </c>
      <c r="C214">
        <f>IF($A214="","",'Blind Count Entry'!C212)</f>
        <v/>
      </c>
      <c r="D214">
        <f>IF($A214="","",'Blind Count Entry'!D212)</f>
        <v/>
      </c>
      <c r="E214">
        <f>IF($A214="","",IFERROR(INDEX('ABC Analysis'!$F:$F,MATCH($C214,'ABC Analysis'!$A:$A,0)),""))</f>
        <v/>
      </c>
      <c r="F214">
        <f>IF($A214="","",IFERROR(INDEX('Master Inventory'!$E:$E,MATCH($C214,'Master Inventory'!$A:$A,0)),0))</f>
        <v/>
      </c>
      <c r="G214">
        <f>IF($A214="","",'Blind Count Entry'!F212)</f>
        <v/>
      </c>
      <c r="H214">
        <f>IF($A214="","",G214-F214)</f>
        <v/>
      </c>
      <c r="I214" s="17">
        <f>IF($A214="","",IF(F214=0,IF(H214=0,0,1),ABS(H214)/F214))</f>
        <v/>
      </c>
      <c r="J214" s="18">
        <f>IF($A214="","",IF($E214="A",$E$1,IF($E214="B",$G$1,$I$1)))</f>
        <v/>
      </c>
      <c r="K214">
        <f>IF($A214="","",IF(H214=0,"MATCH",IF(I214&gt;J214,"RECOUNT","WITHIN TOLERANCE")))</f>
        <v/>
      </c>
      <c r="L214" s="5" t="n"/>
      <c r="M214">
        <f>IF(OR($A214="",$L214=""),"",L214-F214)</f>
        <v/>
      </c>
      <c r="N214" s="5" t="n"/>
      <c r="O214" s="5" t="n"/>
    </row>
    <row r="215">
      <c r="A215">
        <f>IF('Blind Count Entry'!A213="","",'Blind Count Entry'!A213)</f>
        <v/>
      </c>
      <c r="B215" s="16">
        <f>IF($A215="","",'Blind Count Entry'!B213)</f>
        <v/>
      </c>
      <c r="C215">
        <f>IF($A215="","",'Blind Count Entry'!C213)</f>
        <v/>
      </c>
      <c r="D215">
        <f>IF($A215="","",'Blind Count Entry'!D213)</f>
        <v/>
      </c>
      <c r="E215">
        <f>IF($A215="","",IFERROR(INDEX('ABC Analysis'!$F:$F,MATCH($C215,'ABC Analysis'!$A:$A,0)),""))</f>
        <v/>
      </c>
      <c r="F215">
        <f>IF($A215="","",IFERROR(INDEX('Master Inventory'!$E:$E,MATCH($C215,'Master Inventory'!$A:$A,0)),0))</f>
        <v/>
      </c>
      <c r="G215">
        <f>IF($A215="","",'Blind Count Entry'!F213)</f>
        <v/>
      </c>
      <c r="H215">
        <f>IF($A215="","",G215-F215)</f>
        <v/>
      </c>
      <c r="I215" s="17">
        <f>IF($A215="","",IF(F215=0,IF(H215=0,0,1),ABS(H215)/F215))</f>
        <v/>
      </c>
      <c r="J215" s="18">
        <f>IF($A215="","",IF($E215="A",$E$1,IF($E215="B",$G$1,$I$1)))</f>
        <v/>
      </c>
      <c r="K215">
        <f>IF($A215="","",IF(H215=0,"MATCH",IF(I215&gt;J215,"RECOUNT","WITHIN TOLERANCE")))</f>
        <v/>
      </c>
      <c r="L215" s="5" t="n"/>
      <c r="M215">
        <f>IF(OR($A215="",$L215=""),"",L215-F215)</f>
        <v/>
      </c>
      <c r="N215" s="5" t="n"/>
      <c r="O215" s="5" t="n"/>
    </row>
    <row r="216">
      <c r="A216">
        <f>IF('Blind Count Entry'!A214="","",'Blind Count Entry'!A214)</f>
        <v/>
      </c>
      <c r="B216" s="16">
        <f>IF($A216="","",'Blind Count Entry'!B214)</f>
        <v/>
      </c>
      <c r="C216">
        <f>IF($A216="","",'Blind Count Entry'!C214)</f>
        <v/>
      </c>
      <c r="D216">
        <f>IF($A216="","",'Blind Count Entry'!D214)</f>
        <v/>
      </c>
      <c r="E216">
        <f>IF($A216="","",IFERROR(INDEX('ABC Analysis'!$F:$F,MATCH($C216,'ABC Analysis'!$A:$A,0)),""))</f>
        <v/>
      </c>
      <c r="F216">
        <f>IF($A216="","",IFERROR(INDEX('Master Inventory'!$E:$E,MATCH($C216,'Master Inventory'!$A:$A,0)),0))</f>
        <v/>
      </c>
      <c r="G216">
        <f>IF($A216="","",'Blind Count Entry'!F214)</f>
        <v/>
      </c>
      <c r="H216">
        <f>IF($A216="","",G216-F216)</f>
        <v/>
      </c>
      <c r="I216" s="17">
        <f>IF($A216="","",IF(F216=0,IF(H216=0,0,1),ABS(H216)/F216))</f>
        <v/>
      </c>
      <c r="J216" s="18">
        <f>IF($A216="","",IF($E216="A",$E$1,IF($E216="B",$G$1,$I$1)))</f>
        <v/>
      </c>
      <c r="K216">
        <f>IF($A216="","",IF(H216=0,"MATCH",IF(I216&gt;J216,"RECOUNT","WITHIN TOLERANCE")))</f>
        <v/>
      </c>
      <c r="L216" s="5" t="n"/>
      <c r="M216">
        <f>IF(OR($A216="",$L216=""),"",L216-F216)</f>
        <v/>
      </c>
      <c r="N216" s="5" t="n"/>
      <c r="O216" s="5" t="n"/>
    </row>
    <row r="217">
      <c r="A217">
        <f>IF('Blind Count Entry'!A215="","",'Blind Count Entry'!A215)</f>
        <v/>
      </c>
      <c r="B217" s="16">
        <f>IF($A217="","",'Blind Count Entry'!B215)</f>
        <v/>
      </c>
      <c r="C217">
        <f>IF($A217="","",'Blind Count Entry'!C215)</f>
        <v/>
      </c>
      <c r="D217">
        <f>IF($A217="","",'Blind Count Entry'!D215)</f>
        <v/>
      </c>
      <c r="E217">
        <f>IF($A217="","",IFERROR(INDEX('ABC Analysis'!$F:$F,MATCH($C217,'ABC Analysis'!$A:$A,0)),""))</f>
        <v/>
      </c>
      <c r="F217">
        <f>IF($A217="","",IFERROR(INDEX('Master Inventory'!$E:$E,MATCH($C217,'Master Inventory'!$A:$A,0)),0))</f>
        <v/>
      </c>
      <c r="G217">
        <f>IF($A217="","",'Blind Count Entry'!F215)</f>
        <v/>
      </c>
      <c r="H217">
        <f>IF($A217="","",G217-F217)</f>
        <v/>
      </c>
      <c r="I217" s="17">
        <f>IF($A217="","",IF(F217=0,IF(H217=0,0,1),ABS(H217)/F217))</f>
        <v/>
      </c>
      <c r="J217" s="18">
        <f>IF($A217="","",IF($E217="A",$E$1,IF($E217="B",$G$1,$I$1)))</f>
        <v/>
      </c>
      <c r="K217">
        <f>IF($A217="","",IF(H217=0,"MATCH",IF(I217&gt;J217,"RECOUNT","WITHIN TOLERANCE")))</f>
        <v/>
      </c>
      <c r="L217" s="5" t="n"/>
      <c r="M217">
        <f>IF(OR($A217="",$L217=""),"",L217-F217)</f>
        <v/>
      </c>
      <c r="N217" s="5" t="n"/>
      <c r="O217" s="5" t="n"/>
    </row>
    <row r="218">
      <c r="A218">
        <f>IF('Blind Count Entry'!A216="","",'Blind Count Entry'!A216)</f>
        <v/>
      </c>
      <c r="B218" s="16">
        <f>IF($A218="","",'Blind Count Entry'!B216)</f>
        <v/>
      </c>
      <c r="C218">
        <f>IF($A218="","",'Blind Count Entry'!C216)</f>
        <v/>
      </c>
      <c r="D218">
        <f>IF($A218="","",'Blind Count Entry'!D216)</f>
        <v/>
      </c>
      <c r="E218">
        <f>IF($A218="","",IFERROR(INDEX('ABC Analysis'!$F:$F,MATCH($C218,'ABC Analysis'!$A:$A,0)),""))</f>
        <v/>
      </c>
      <c r="F218">
        <f>IF($A218="","",IFERROR(INDEX('Master Inventory'!$E:$E,MATCH($C218,'Master Inventory'!$A:$A,0)),0))</f>
        <v/>
      </c>
      <c r="G218">
        <f>IF($A218="","",'Blind Count Entry'!F216)</f>
        <v/>
      </c>
      <c r="H218">
        <f>IF($A218="","",G218-F218)</f>
        <v/>
      </c>
      <c r="I218" s="17">
        <f>IF($A218="","",IF(F218=0,IF(H218=0,0,1),ABS(H218)/F218))</f>
        <v/>
      </c>
      <c r="J218" s="18">
        <f>IF($A218="","",IF($E218="A",$E$1,IF($E218="B",$G$1,$I$1)))</f>
        <v/>
      </c>
      <c r="K218">
        <f>IF($A218="","",IF(H218=0,"MATCH",IF(I218&gt;J218,"RECOUNT","WITHIN TOLERANCE")))</f>
        <v/>
      </c>
      <c r="L218" s="5" t="n"/>
      <c r="M218">
        <f>IF(OR($A218="",$L218=""),"",L218-F218)</f>
        <v/>
      </c>
      <c r="N218" s="5" t="n"/>
      <c r="O218" s="5" t="n"/>
    </row>
    <row r="219">
      <c r="A219">
        <f>IF('Blind Count Entry'!A217="","",'Blind Count Entry'!A217)</f>
        <v/>
      </c>
      <c r="B219" s="16">
        <f>IF($A219="","",'Blind Count Entry'!B217)</f>
        <v/>
      </c>
      <c r="C219">
        <f>IF($A219="","",'Blind Count Entry'!C217)</f>
        <v/>
      </c>
      <c r="D219">
        <f>IF($A219="","",'Blind Count Entry'!D217)</f>
        <v/>
      </c>
      <c r="E219">
        <f>IF($A219="","",IFERROR(INDEX('ABC Analysis'!$F:$F,MATCH($C219,'ABC Analysis'!$A:$A,0)),""))</f>
        <v/>
      </c>
      <c r="F219">
        <f>IF($A219="","",IFERROR(INDEX('Master Inventory'!$E:$E,MATCH($C219,'Master Inventory'!$A:$A,0)),0))</f>
        <v/>
      </c>
      <c r="G219">
        <f>IF($A219="","",'Blind Count Entry'!F217)</f>
        <v/>
      </c>
      <c r="H219">
        <f>IF($A219="","",G219-F219)</f>
        <v/>
      </c>
      <c r="I219" s="17">
        <f>IF($A219="","",IF(F219=0,IF(H219=0,0,1),ABS(H219)/F219))</f>
        <v/>
      </c>
      <c r="J219" s="18">
        <f>IF($A219="","",IF($E219="A",$E$1,IF($E219="B",$G$1,$I$1)))</f>
        <v/>
      </c>
      <c r="K219">
        <f>IF($A219="","",IF(H219=0,"MATCH",IF(I219&gt;J219,"RECOUNT","WITHIN TOLERANCE")))</f>
        <v/>
      </c>
      <c r="L219" s="5" t="n"/>
      <c r="M219">
        <f>IF(OR($A219="",$L219=""),"",L219-F219)</f>
        <v/>
      </c>
      <c r="N219" s="5" t="n"/>
      <c r="O219" s="5" t="n"/>
    </row>
    <row r="220">
      <c r="A220">
        <f>IF('Blind Count Entry'!A218="","",'Blind Count Entry'!A218)</f>
        <v/>
      </c>
      <c r="B220" s="16">
        <f>IF($A220="","",'Blind Count Entry'!B218)</f>
        <v/>
      </c>
      <c r="C220">
        <f>IF($A220="","",'Blind Count Entry'!C218)</f>
        <v/>
      </c>
      <c r="D220">
        <f>IF($A220="","",'Blind Count Entry'!D218)</f>
        <v/>
      </c>
      <c r="E220">
        <f>IF($A220="","",IFERROR(INDEX('ABC Analysis'!$F:$F,MATCH($C220,'ABC Analysis'!$A:$A,0)),""))</f>
        <v/>
      </c>
      <c r="F220">
        <f>IF($A220="","",IFERROR(INDEX('Master Inventory'!$E:$E,MATCH($C220,'Master Inventory'!$A:$A,0)),0))</f>
        <v/>
      </c>
      <c r="G220">
        <f>IF($A220="","",'Blind Count Entry'!F218)</f>
        <v/>
      </c>
      <c r="H220">
        <f>IF($A220="","",G220-F220)</f>
        <v/>
      </c>
      <c r="I220" s="17">
        <f>IF($A220="","",IF(F220=0,IF(H220=0,0,1),ABS(H220)/F220))</f>
        <v/>
      </c>
      <c r="J220" s="18">
        <f>IF($A220="","",IF($E220="A",$E$1,IF($E220="B",$G$1,$I$1)))</f>
        <v/>
      </c>
      <c r="K220">
        <f>IF($A220="","",IF(H220=0,"MATCH",IF(I220&gt;J220,"RECOUNT","WITHIN TOLERANCE")))</f>
        <v/>
      </c>
      <c r="L220" s="5" t="n"/>
      <c r="M220">
        <f>IF(OR($A220="",$L220=""),"",L220-F220)</f>
        <v/>
      </c>
      <c r="N220" s="5" t="n"/>
      <c r="O220" s="5" t="n"/>
    </row>
    <row r="221">
      <c r="A221">
        <f>IF('Blind Count Entry'!A219="","",'Blind Count Entry'!A219)</f>
        <v/>
      </c>
      <c r="B221" s="16">
        <f>IF($A221="","",'Blind Count Entry'!B219)</f>
        <v/>
      </c>
      <c r="C221">
        <f>IF($A221="","",'Blind Count Entry'!C219)</f>
        <v/>
      </c>
      <c r="D221">
        <f>IF($A221="","",'Blind Count Entry'!D219)</f>
        <v/>
      </c>
      <c r="E221">
        <f>IF($A221="","",IFERROR(INDEX('ABC Analysis'!$F:$F,MATCH($C221,'ABC Analysis'!$A:$A,0)),""))</f>
        <v/>
      </c>
      <c r="F221">
        <f>IF($A221="","",IFERROR(INDEX('Master Inventory'!$E:$E,MATCH($C221,'Master Inventory'!$A:$A,0)),0))</f>
        <v/>
      </c>
      <c r="G221">
        <f>IF($A221="","",'Blind Count Entry'!F219)</f>
        <v/>
      </c>
      <c r="H221">
        <f>IF($A221="","",G221-F221)</f>
        <v/>
      </c>
      <c r="I221" s="17">
        <f>IF($A221="","",IF(F221=0,IF(H221=0,0,1),ABS(H221)/F221))</f>
        <v/>
      </c>
      <c r="J221" s="18">
        <f>IF($A221="","",IF($E221="A",$E$1,IF($E221="B",$G$1,$I$1)))</f>
        <v/>
      </c>
      <c r="K221">
        <f>IF($A221="","",IF(H221=0,"MATCH",IF(I221&gt;J221,"RECOUNT","WITHIN TOLERANCE")))</f>
        <v/>
      </c>
      <c r="L221" s="5" t="n"/>
      <c r="M221">
        <f>IF(OR($A221="",$L221=""),"",L221-F221)</f>
        <v/>
      </c>
      <c r="N221" s="5" t="n"/>
      <c r="O221" s="5" t="n"/>
    </row>
    <row r="222">
      <c r="A222">
        <f>IF('Blind Count Entry'!A220="","",'Blind Count Entry'!A220)</f>
        <v/>
      </c>
      <c r="B222" s="16">
        <f>IF($A222="","",'Blind Count Entry'!B220)</f>
        <v/>
      </c>
      <c r="C222">
        <f>IF($A222="","",'Blind Count Entry'!C220)</f>
        <v/>
      </c>
      <c r="D222">
        <f>IF($A222="","",'Blind Count Entry'!D220)</f>
        <v/>
      </c>
      <c r="E222">
        <f>IF($A222="","",IFERROR(INDEX('ABC Analysis'!$F:$F,MATCH($C222,'ABC Analysis'!$A:$A,0)),""))</f>
        <v/>
      </c>
      <c r="F222">
        <f>IF($A222="","",IFERROR(INDEX('Master Inventory'!$E:$E,MATCH($C222,'Master Inventory'!$A:$A,0)),0))</f>
        <v/>
      </c>
      <c r="G222">
        <f>IF($A222="","",'Blind Count Entry'!F220)</f>
        <v/>
      </c>
      <c r="H222">
        <f>IF($A222="","",G222-F222)</f>
        <v/>
      </c>
      <c r="I222" s="17">
        <f>IF($A222="","",IF(F222=0,IF(H222=0,0,1),ABS(H222)/F222))</f>
        <v/>
      </c>
      <c r="J222" s="18">
        <f>IF($A222="","",IF($E222="A",$E$1,IF($E222="B",$G$1,$I$1)))</f>
        <v/>
      </c>
      <c r="K222">
        <f>IF($A222="","",IF(H222=0,"MATCH",IF(I222&gt;J222,"RECOUNT","WITHIN TOLERANCE")))</f>
        <v/>
      </c>
      <c r="L222" s="5" t="n"/>
      <c r="M222">
        <f>IF(OR($A222="",$L222=""),"",L222-F222)</f>
        <v/>
      </c>
      <c r="N222" s="5" t="n"/>
      <c r="O222" s="5" t="n"/>
    </row>
    <row r="223">
      <c r="A223">
        <f>IF('Blind Count Entry'!A221="","",'Blind Count Entry'!A221)</f>
        <v/>
      </c>
      <c r="B223" s="16">
        <f>IF($A223="","",'Blind Count Entry'!B221)</f>
        <v/>
      </c>
      <c r="C223">
        <f>IF($A223="","",'Blind Count Entry'!C221)</f>
        <v/>
      </c>
      <c r="D223">
        <f>IF($A223="","",'Blind Count Entry'!D221)</f>
        <v/>
      </c>
      <c r="E223">
        <f>IF($A223="","",IFERROR(INDEX('ABC Analysis'!$F:$F,MATCH($C223,'ABC Analysis'!$A:$A,0)),""))</f>
        <v/>
      </c>
      <c r="F223">
        <f>IF($A223="","",IFERROR(INDEX('Master Inventory'!$E:$E,MATCH($C223,'Master Inventory'!$A:$A,0)),0))</f>
        <v/>
      </c>
      <c r="G223">
        <f>IF($A223="","",'Blind Count Entry'!F221)</f>
        <v/>
      </c>
      <c r="H223">
        <f>IF($A223="","",G223-F223)</f>
        <v/>
      </c>
      <c r="I223" s="17">
        <f>IF($A223="","",IF(F223=0,IF(H223=0,0,1),ABS(H223)/F223))</f>
        <v/>
      </c>
      <c r="J223" s="18">
        <f>IF($A223="","",IF($E223="A",$E$1,IF($E223="B",$G$1,$I$1)))</f>
        <v/>
      </c>
      <c r="K223">
        <f>IF($A223="","",IF(H223=0,"MATCH",IF(I223&gt;J223,"RECOUNT","WITHIN TOLERANCE")))</f>
        <v/>
      </c>
      <c r="L223" s="5" t="n"/>
      <c r="M223">
        <f>IF(OR($A223="",$L223=""),"",L223-F223)</f>
        <v/>
      </c>
      <c r="N223" s="5" t="n"/>
      <c r="O223" s="5" t="n"/>
    </row>
    <row r="224">
      <c r="A224">
        <f>IF('Blind Count Entry'!A222="","",'Blind Count Entry'!A222)</f>
        <v/>
      </c>
      <c r="B224" s="16">
        <f>IF($A224="","",'Blind Count Entry'!B222)</f>
        <v/>
      </c>
      <c r="C224">
        <f>IF($A224="","",'Blind Count Entry'!C222)</f>
        <v/>
      </c>
      <c r="D224">
        <f>IF($A224="","",'Blind Count Entry'!D222)</f>
        <v/>
      </c>
      <c r="E224">
        <f>IF($A224="","",IFERROR(INDEX('ABC Analysis'!$F:$F,MATCH($C224,'ABC Analysis'!$A:$A,0)),""))</f>
        <v/>
      </c>
      <c r="F224">
        <f>IF($A224="","",IFERROR(INDEX('Master Inventory'!$E:$E,MATCH($C224,'Master Inventory'!$A:$A,0)),0))</f>
        <v/>
      </c>
      <c r="G224">
        <f>IF($A224="","",'Blind Count Entry'!F222)</f>
        <v/>
      </c>
      <c r="H224">
        <f>IF($A224="","",G224-F224)</f>
        <v/>
      </c>
      <c r="I224" s="17">
        <f>IF($A224="","",IF(F224=0,IF(H224=0,0,1),ABS(H224)/F224))</f>
        <v/>
      </c>
      <c r="J224" s="18">
        <f>IF($A224="","",IF($E224="A",$E$1,IF($E224="B",$G$1,$I$1)))</f>
        <v/>
      </c>
      <c r="K224">
        <f>IF($A224="","",IF(H224=0,"MATCH",IF(I224&gt;J224,"RECOUNT","WITHIN TOLERANCE")))</f>
        <v/>
      </c>
      <c r="L224" s="5" t="n"/>
      <c r="M224">
        <f>IF(OR($A224="",$L224=""),"",L224-F224)</f>
        <v/>
      </c>
      <c r="N224" s="5" t="n"/>
      <c r="O224" s="5" t="n"/>
    </row>
    <row r="225">
      <c r="A225">
        <f>IF('Blind Count Entry'!A223="","",'Blind Count Entry'!A223)</f>
        <v/>
      </c>
      <c r="B225" s="16">
        <f>IF($A225="","",'Blind Count Entry'!B223)</f>
        <v/>
      </c>
      <c r="C225">
        <f>IF($A225="","",'Blind Count Entry'!C223)</f>
        <v/>
      </c>
      <c r="D225">
        <f>IF($A225="","",'Blind Count Entry'!D223)</f>
        <v/>
      </c>
      <c r="E225">
        <f>IF($A225="","",IFERROR(INDEX('ABC Analysis'!$F:$F,MATCH($C225,'ABC Analysis'!$A:$A,0)),""))</f>
        <v/>
      </c>
      <c r="F225">
        <f>IF($A225="","",IFERROR(INDEX('Master Inventory'!$E:$E,MATCH($C225,'Master Inventory'!$A:$A,0)),0))</f>
        <v/>
      </c>
      <c r="G225">
        <f>IF($A225="","",'Blind Count Entry'!F223)</f>
        <v/>
      </c>
      <c r="H225">
        <f>IF($A225="","",G225-F225)</f>
        <v/>
      </c>
      <c r="I225" s="17">
        <f>IF($A225="","",IF(F225=0,IF(H225=0,0,1),ABS(H225)/F225))</f>
        <v/>
      </c>
      <c r="J225" s="18">
        <f>IF($A225="","",IF($E225="A",$E$1,IF($E225="B",$G$1,$I$1)))</f>
        <v/>
      </c>
      <c r="K225">
        <f>IF($A225="","",IF(H225=0,"MATCH",IF(I225&gt;J225,"RECOUNT","WITHIN TOLERANCE")))</f>
        <v/>
      </c>
      <c r="L225" s="5" t="n"/>
      <c r="M225">
        <f>IF(OR($A225="",$L225=""),"",L225-F225)</f>
        <v/>
      </c>
      <c r="N225" s="5" t="n"/>
      <c r="O225" s="5" t="n"/>
    </row>
    <row r="226">
      <c r="A226">
        <f>IF('Blind Count Entry'!A224="","",'Blind Count Entry'!A224)</f>
        <v/>
      </c>
      <c r="B226" s="16">
        <f>IF($A226="","",'Blind Count Entry'!B224)</f>
        <v/>
      </c>
      <c r="C226">
        <f>IF($A226="","",'Blind Count Entry'!C224)</f>
        <v/>
      </c>
      <c r="D226">
        <f>IF($A226="","",'Blind Count Entry'!D224)</f>
        <v/>
      </c>
      <c r="E226">
        <f>IF($A226="","",IFERROR(INDEX('ABC Analysis'!$F:$F,MATCH($C226,'ABC Analysis'!$A:$A,0)),""))</f>
        <v/>
      </c>
      <c r="F226">
        <f>IF($A226="","",IFERROR(INDEX('Master Inventory'!$E:$E,MATCH($C226,'Master Inventory'!$A:$A,0)),0))</f>
        <v/>
      </c>
      <c r="G226">
        <f>IF($A226="","",'Blind Count Entry'!F224)</f>
        <v/>
      </c>
      <c r="H226">
        <f>IF($A226="","",G226-F226)</f>
        <v/>
      </c>
      <c r="I226" s="17">
        <f>IF($A226="","",IF(F226=0,IF(H226=0,0,1),ABS(H226)/F226))</f>
        <v/>
      </c>
      <c r="J226" s="18">
        <f>IF($A226="","",IF($E226="A",$E$1,IF($E226="B",$G$1,$I$1)))</f>
        <v/>
      </c>
      <c r="K226">
        <f>IF($A226="","",IF(H226=0,"MATCH",IF(I226&gt;J226,"RECOUNT","WITHIN TOLERANCE")))</f>
        <v/>
      </c>
      <c r="L226" s="5" t="n"/>
      <c r="M226">
        <f>IF(OR($A226="",$L226=""),"",L226-F226)</f>
        <v/>
      </c>
      <c r="N226" s="5" t="n"/>
      <c r="O226" s="5" t="n"/>
    </row>
    <row r="227">
      <c r="A227">
        <f>IF('Blind Count Entry'!A225="","",'Blind Count Entry'!A225)</f>
        <v/>
      </c>
      <c r="B227" s="16">
        <f>IF($A227="","",'Blind Count Entry'!B225)</f>
        <v/>
      </c>
      <c r="C227">
        <f>IF($A227="","",'Blind Count Entry'!C225)</f>
        <v/>
      </c>
      <c r="D227">
        <f>IF($A227="","",'Blind Count Entry'!D225)</f>
        <v/>
      </c>
      <c r="E227">
        <f>IF($A227="","",IFERROR(INDEX('ABC Analysis'!$F:$F,MATCH($C227,'ABC Analysis'!$A:$A,0)),""))</f>
        <v/>
      </c>
      <c r="F227">
        <f>IF($A227="","",IFERROR(INDEX('Master Inventory'!$E:$E,MATCH($C227,'Master Inventory'!$A:$A,0)),0))</f>
        <v/>
      </c>
      <c r="G227">
        <f>IF($A227="","",'Blind Count Entry'!F225)</f>
        <v/>
      </c>
      <c r="H227">
        <f>IF($A227="","",G227-F227)</f>
        <v/>
      </c>
      <c r="I227" s="17">
        <f>IF($A227="","",IF(F227=0,IF(H227=0,0,1),ABS(H227)/F227))</f>
        <v/>
      </c>
      <c r="J227" s="18">
        <f>IF($A227="","",IF($E227="A",$E$1,IF($E227="B",$G$1,$I$1)))</f>
        <v/>
      </c>
      <c r="K227">
        <f>IF($A227="","",IF(H227=0,"MATCH",IF(I227&gt;J227,"RECOUNT","WITHIN TOLERANCE")))</f>
        <v/>
      </c>
      <c r="L227" s="5" t="n"/>
      <c r="M227">
        <f>IF(OR($A227="",$L227=""),"",L227-F227)</f>
        <v/>
      </c>
      <c r="N227" s="5" t="n"/>
      <c r="O227" s="5" t="n"/>
    </row>
    <row r="228">
      <c r="A228">
        <f>IF('Blind Count Entry'!A226="","",'Blind Count Entry'!A226)</f>
        <v/>
      </c>
      <c r="B228" s="16">
        <f>IF($A228="","",'Blind Count Entry'!B226)</f>
        <v/>
      </c>
      <c r="C228">
        <f>IF($A228="","",'Blind Count Entry'!C226)</f>
        <v/>
      </c>
      <c r="D228">
        <f>IF($A228="","",'Blind Count Entry'!D226)</f>
        <v/>
      </c>
      <c r="E228">
        <f>IF($A228="","",IFERROR(INDEX('ABC Analysis'!$F:$F,MATCH($C228,'ABC Analysis'!$A:$A,0)),""))</f>
        <v/>
      </c>
      <c r="F228">
        <f>IF($A228="","",IFERROR(INDEX('Master Inventory'!$E:$E,MATCH($C228,'Master Inventory'!$A:$A,0)),0))</f>
        <v/>
      </c>
      <c r="G228">
        <f>IF($A228="","",'Blind Count Entry'!F226)</f>
        <v/>
      </c>
      <c r="H228">
        <f>IF($A228="","",G228-F228)</f>
        <v/>
      </c>
      <c r="I228" s="17">
        <f>IF($A228="","",IF(F228=0,IF(H228=0,0,1),ABS(H228)/F228))</f>
        <v/>
      </c>
      <c r="J228" s="18">
        <f>IF($A228="","",IF($E228="A",$E$1,IF($E228="B",$G$1,$I$1)))</f>
        <v/>
      </c>
      <c r="K228">
        <f>IF($A228="","",IF(H228=0,"MATCH",IF(I228&gt;J228,"RECOUNT","WITHIN TOLERANCE")))</f>
        <v/>
      </c>
      <c r="L228" s="5" t="n"/>
      <c r="M228">
        <f>IF(OR($A228="",$L228=""),"",L228-F228)</f>
        <v/>
      </c>
      <c r="N228" s="5" t="n"/>
      <c r="O228" s="5" t="n"/>
    </row>
    <row r="229">
      <c r="A229">
        <f>IF('Blind Count Entry'!A227="","",'Blind Count Entry'!A227)</f>
        <v/>
      </c>
      <c r="B229" s="16">
        <f>IF($A229="","",'Blind Count Entry'!B227)</f>
        <v/>
      </c>
      <c r="C229">
        <f>IF($A229="","",'Blind Count Entry'!C227)</f>
        <v/>
      </c>
      <c r="D229">
        <f>IF($A229="","",'Blind Count Entry'!D227)</f>
        <v/>
      </c>
      <c r="E229">
        <f>IF($A229="","",IFERROR(INDEX('ABC Analysis'!$F:$F,MATCH($C229,'ABC Analysis'!$A:$A,0)),""))</f>
        <v/>
      </c>
      <c r="F229">
        <f>IF($A229="","",IFERROR(INDEX('Master Inventory'!$E:$E,MATCH($C229,'Master Inventory'!$A:$A,0)),0))</f>
        <v/>
      </c>
      <c r="G229">
        <f>IF($A229="","",'Blind Count Entry'!F227)</f>
        <v/>
      </c>
      <c r="H229">
        <f>IF($A229="","",G229-F229)</f>
        <v/>
      </c>
      <c r="I229" s="17">
        <f>IF($A229="","",IF(F229=0,IF(H229=0,0,1),ABS(H229)/F229))</f>
        <v/>
      </c>
      <c r="J229" s="18">
        <f>IF($A229="","",IF($E229="A",$E$1,IF($E229="B",$G$1,$I$1)))</f>
        <v/>
      </c>
      <c r="K229">
        <f>IF($A229="","",IF(H229=0,"MATCH",IF(I229&gt;J229,"RECOUNT","WITHIN TOLERANCE")))</f>
        <v/>
      </c>
      <c r="L229" s="5" t="n"/>
      <c r="M229">
        <f>IF(OR($A229="",$L229=""),"",L229-F229)</f>
        <v/>
      </c>
      <c r="N229" s="5" t="n"/>
      <c r="O229" s="5" t="n"/>
    </row>
    <row r="230">
      <c r="A230">
        <f>IF('Blind Count Entry'!A228="","",'Blind Count Entry'!A228)</f>
        <v/>
      </c>
      <c r="B230" s="16">
        <f>IF($A230="","",'Blind Count Entry'!B228)</f>
        <v/>
      </c>
      <c r="C230">
        <f>IF($A230="","",'Blind Count Entry'!C228)</f>
        <v/>
      </c>
      <c r="D230">
        <f>IF($A230="","",'Blind Count Entry'!D228)</f>
        <v/>
      </c>
      <c r="E230">
        <f>IF($A230="","",IFERROR(INDEX('ABC Analysis'!$F:$F,MATCH($C230,'ABC Analysis'!$A:$A,0)),""))</f>
        <v/>
      </c>
      <c r="F230">
        <f>IF($A230="","",IFERROR(INDEX('Master Inventory'!$E:$E,MATCH($C230,'Master Inventory'!$A:$A,0)),0))</f>
        <v/>
      </c>
      <c r="G230">
        <f>IF($A230="","",'Blind Count Entry'!F228)</f>
        <v/>
      </c>
      <c r="H230">
        <f>IF($A230="","",G230-F230)</f>
        <v/>
      </c>
      <c r="I230" s="17">
        <f>IF($A230="","",IF(F230=0,IF(H230=0,0,1),ABS(H230)/F230))</f>
        <v/>
      </c>
      <c r="J230" s="18">
        <f>IF($A230="","",IF($E230="A",$E$1,IF($E230="B",$G$1,$I$1)))</f>
        <v/>
      </c>
      <c r="K230">
        <f>IF($A230="","",IF(H230=0,"MATCH",IF(I230&gt;J230,"RECOUNT","WITHIN TOLERANCE")))</f>
        <v/>
      </c>
      <c r="L230" s="5" t="n"/>
      <c r="M230">
        <f>IF(OR($A230="",$L230=""),"",L230-F230)</f>
        <v/>
      </c>
      <c r="N230" s="5" t="n"/>
      <c r="O230" s="5" t="n"/>
    </row>
    <row r="231">
      <c r="A231">
        <f>IF('Blind Count Entry'!A229="","",'Blind Count Entry'!A229)</f>
        <v/>
      </c>
      <c r="B231" s="16">
        <f>IF($A231="","",'Blind Count Entry'!B229)</f>
        <v/>
      </c>
      <c r="C231">
        <f>IF($A231="","",'Blind Count Entry'!C229)</f>
        <v/>
      </c>
      <c r="D231">
        <f>IF($A231="","",'Blind Count Entry'!D229)</f>
        <v/>
      </c>
      <c r="E231">
        <f>IF($A231="","",IFERROR(INDEX('ABC Analysis'!$F:$F,MATCH($C231,'ABC Analysis'!$A:$A,0)),""))</f>
        <v/>
      </c>
      <c r="F231">
        <f>IF($A231="","",IFERROR(INDEX('Master Inventory'!$E:$E,MATCH($C231,'Master Inventory'!$A:$A,0)),0))</f>
        <v/>
      </c>
      <c r="G231">
        <f>IF($A231="","",'Blind Count Entry'!F229)</f>
        <v/>
      </c>
      <c r="H231">
        <f>IF($A231="","",G231-F231)</f>
        <v/>
      </c>
      <c r="I231" s="17">
        <f>IF($A231="","",IF(F231=0,IF(H231=0,0,1),ABS(H231)/F231))</f>
        <v/>
      </c>
      <c r="J231" s="18">
        <f>IF($A231="","",IF($E231="A",$E$1,IF($E231="B",$G$1,$I$1)))</f>
        <v/>
      </c>
      <c r="K231">
        <f>IF($A231="","",IF(H231=0,"MATCH",IF(I231&gt;J231,"RECOUNT","WITHIN TOLERANCE")))</f>
        <v/>
      </c>
      <c r="L231" s="5" t="n"/>
      <c r="M231">
        <f>IF(OR($A231="",$L231=""),"",L231-F231)</f>
        <v/>
      </c>
      <c r="N231" s="5" t="n"/>
      <c r="O231" s="5" t="n"/>
    </row>
    <row r="232">
      <c r="A232">
        <f>IF('Blind Count Entry'!A230="","",'Blind Count Entry'!A230)</f>
        <v/>
      </c>
      <c r="B232" s="16">
        <f>IF($A232="","",'Blind Count Entry'!B230)</f>
        <v/>
      </c>
      <c r="C232">
        <f>IF($A232="","",'Blind Count Entry'!C230)</f>
        <v/>
      </c>
      <c r="D232">
        <f>IF($A232="","",'Blind Count Entry'!D230)</f>
        <v/>
      </c>
      <c r="E232">
        <f>IF($A232="","",IFERROR(INDEX('ABC Analysis'!$F:$F,MATCH($C232,'ABC Analysis'!$A:$A,0)),""))</f>
        <v/>
      </c>
      <c r="F232">
        <f>IF($A232="","",IFERROR(INDEX('Master Inventory'!$E:$E,MATCH($C232,'Master Inventory'!$A:$A,0)),0))</f>
        <v/>
      </c>
      <c r="G232">
        <f>IF($A232="","",'Blind Count Entry'!F230)</f>
        <v/>
      </c>
      <c r="H232">
        <f>IF($A232="","",G232-F232)</f>
        <v/>
      </c>
      <c r="I232" s="17">
        <f>IF($A232="","",IF(F232=0,IF(H232=0,0,1),ABS(H232)/F232))</f>
        <v/>
      </c>
      <c r="J232" s="18">
        <f>IF($A232="","",IF($E232="A",$E$1,IF($E232="B",$G$1,$I$1)))</f>
        <v/>
      </c>
      <c r="K232">
        <f>IF($A232="","",IF(H232=0,"MATCH",IF(I232&gt;J232,"RECOUNT","WITHIN TOLERANCE")))</f>
        <v/>
      </c>
      <c r="L232" s="5" t="n"/>
      <c r="M232">
        <f>IF(OR($A232="",$L232=""),"",L232-F232)</f>
        <v/>
      </c>
      <c r="N232" s="5" t="n"/>
      <c r="O232" s="5" t="n"/>
    </row>
    <row r="233">
      <c r="A233">
        <f>IF('Blind Count Entry'!A231="","",'Blind Count Entry'!A231)</f>
        <v/>
      </c>
      <c r="B233" s="16">
        <f>IF($A233="","",'Blind Count Entry'!B231)</f>
        <v/>
      </c>
      <c r="C233">
        <f>IF($A233="","",'Blind Count Entry'!C231)</f>
        <v/>
      </c>
      <c r="D233">
        <f>IF($A233="","",'Blind Count Entry'!D231)</f>
        <v/>
      </c>
      <c r="E233">
        <f>IF($A233="","",IFERROR(INDEX('ABC Analysis'!$F:$F,MATCH($C233,'ABC Analysis'!$A:$A,0)),""))</f>
        <v/>
      </c>
      <c r="F233">
        <f>IF($A233="","",IFERROR(INDEX('Master Inventory'!$E:$E,MATCH($C233,'Master Inventory'!$A:$A,0)),0))</f>
        <v/>
      </c>
      <c r="G233">
        <f>IF($A233="","",'Blind Count Entry'!F231)</f>
        <v/>
      </c>
      <c r="H233">
        <f>IF($A233="","",G233-F233)</f>
        <v/>
      </c>
      <c r="I233" s="17">
        <f>IF($A233="","",IF(F233=0,IF(H233=0,0,1),ABS(H233)/F233))</f>
        <v/>
      </c>
      <c r="J233" s="18">
        <f>IF($A233="","",IF($E233="A",$E$1,IF($E233="B",$G$1,$I$1)))</f>
        <v/>
      </c>
      <c r="K233">
        <f>IF($A233="","",IF(H233=0,"MATCH",IF(I233&gt;J233,"RECOUNT","WITHIN TOLERANCE")))</f>
        <v/>
      </c>
      <c r="L233" s="5" t="n"/>
      <c r="M233">
        <f>IF(OR($A233="",$L233=""),"",L233-F233)</f>
        <v/>
      </c>
      <c r="N233" s="5" t="n"/>
      <c r="O233" s="5" t="n"/>
    </row>
    <row r="234">
      <c r="A234">
        <f>IF('Blind Count Entry'!A232="","",'Blind Count Entry'!A232)</f>
        <v/>
      </c>
      <c r="B234" s="16">
        <f>IF($A234="","",'Blind Count Entry'!B232)</f>
        <v/>
      </c>
      <c r="C234">
        <f>IF($A234="","",'Blind Count Entry'!C232)</f>
        <v/>
      </c>
      <c r="D234">
        <f>IF($A234="","",'Blind Count Entry'!D232)</f>
        <v/>
      </c>
      <c r="E234">
        <f>IF($A234="","",IFERROR(INDEX('ABC Analysis'!$F:$F,MATCH($C234,'ABC Analysis'!$A:$A,0)),""))</f>
        <v/>
      </c>
      <c r="F234">
        <f>IF($A234="","",IFERROR(INDEX('Master Inventory'!$E:$E,MATCH($C234,'Master Inventory'!$A:$A,0)),0))</f>
        <v/>
      </c>
      <c r="G234">
        <f>IF($A234="","",'Blind Count Entry'!F232)</f>
        <v/>
      </c>
      <c r="H234">
        <f>IF($A234="","",G234-F234)</f>
        <v/>
      </c>
      <c r="I234" s="17">
        <f>IF($A234="","",IF(F234=0,IF(H234=0,0,1),ABS(H234)/F234))</f>
        <v/>
      </c>
      <c r="J234" s="18">
        <f>IF($A234="","",IF($E234="A",$E$1,IF($E234="B",$G$1,$I$1)))</f>
        <v/>
      </c>
      <c r="K234">
        <f>IF($A234="","",IF(H234=0,"MATCH",IF(I234&gt;J234,"RECOUNT","WITHIN TOLERANCE")))</f>
        <v/>
      </c>
      <c r="L234" s="5" t="n"/>
      <c r="M234">
        <f>IF(OR($A234="",$L234=""),"",L234-F234)</f>
        <v/>
      </c>
      <c r="N234" s="5" t="n"/>
      <c r="O234" s="5" t="n"/>
    </row>
    <row r="235">
      <c r="A235">
        <f>IF('Blind Count Entry'!A233="","",'Blind Count Entry'!A233)</f>
        <v/>
      </c>
      <c r="B235" s="16">
        <f>IF($A235="","",'Blind Count Entry'!B233)</f>
        <v/>
      </c>
      <c r="C235">
        <f>IF($A235="","",'Blind Count Entry'!C233)</f>
        <v/>
      </c>
      <c r="D235">
        <f>IF($A235="","",'Blind Count Entry'!D233)</f>
        <v/>
      </c>
      <c r="E235">
        <f>IF($A235="","",IFERROR(INDEX('ABC Analysis'!$F:$F,MATCH($C235,'ABC Analysis'!$A:$A,0)),""))</f>
        <v/>
      </c>
      <c r="F235">
        <f>IF($A235="","",IFERROR(INDEX('Master Inventory'!$E:$E,MATCH($C235,'Master Inventory'!$A:$A,0)),0))</f>
        <v/>
      </c>
      <c r="G235">
        <f>IF($A235="","",'Blind Count Entry'!F233)</f>
        <v/>
      </c>
      <c r="H235">
        <f>IF($A235="","",G235-F235)</f>
        <v/>
      </c>
      <c r="I235" s="17">
        <f>IF($A235="","",IF(F235=0,IF(H235=0,0,1),ABS(H235)/F235))</f>
        <v/>
      </c>
      <c r="J235" s="18">
        <f>IF($A235="","",IF($E235="A",$E$1,IF($E235="B",$G$1,$I$1)))</f>
        <v/>
      </c>
      <c r="K235">
        <f>IF($A235="","",IF(H235=0,"MATCH",IF(I235&gt;J235,"RECOUNT","WITHIN TOLERANCE")))</f>
        <v/>
      </c>
      <c r="L235" s="5" t="n"/>
      <c r="M235">
        <f>IF(OR($A235="",$L235=""),"",L235-F235)</f>
        <v/>
      </c>
      <c r="N235" s="5" t="n"/>
      <c r="O235" s="5" t="n"/>
    </row>
    <row r="236">
      <c r="A236">
        <f>IF('Blind Count Entry'!A234="","",'Blind Count Entry'!A234)</f>
        <v/>
      </c>
      <c r="B236" s="16">
        <f>IF($A236="","",'Blind Count Entry'!B234)</f>
        <v/>
      </c>
      <c r="C236">
        <f>IF($A236="","",'Blind Count Entry'!C234)</f>
        <v/>
      </c>
      <c r="D236">
        <f>IF($A236="","",'Blind Count Entry'!D234)</f>
        <v/>
      </c>
      <c r="E236">
        <f>IF($A236="","",IFERROR(INDEX('ABC Analysis'!$F:$F,MATCH($C236,'ABC Analysis'!$A:$A,0)),""))</f>
        <v/>
      </c>
      <c r="F236">
        <f>IF($A236="","",IFERROR(INDEX('Master Inventory'!$E:$E,MATCH($C236,'Master Inventory'!$A:$A,0)),0))</f>
        <v/>
      </c>
      <c r="G236">
        <f>IF($A236="","",'Blind Count Entry'!F234)</f>
        <v/>
      </c>
      <c r="H236">
        <f>IF($A236="","",G236-F236)</f>
        <v/>
      </c>
      <c r="I236" s="17">
        <f>IF($A236="","",IF(F236=0,IF(H236=0,0,1),ABS(H236)/F236))</f>
        <v/>
      </c>
      <c r="J236" s="18">
        <f>IF($A236="","",IF($E236="A",$E$1,IF($E236="B",$G$1,$I$1)))</f>
        <v/>
      </c>
      <c r="K236">
        <f>IF($A236="","",IF(H236=0,"MATCH",IF(I236&gt;J236,"RECOUNT","WITHIN TOLERANCE")))</f>
        <v/>
      </c>
      <c r="L236" s="5" t="n"/>
      <c r="M236">
        <f>IF(OR($A236="",$L236=""),"",L236-F236)</f>
        <v/>
      </c>
      <c r="N236" s="5" t="n"/>
      <c r="O236" s="5" t="n"/>
    </row>
    <row r="237">
      <c r="A237">
        <f>IF('Blind Count Entry'!A235="","",'Blind Count Entry'!A235)</f>
        <v/>
      </c>
      <c r="B237" s="16">
        <f>IF($A237="","",'Blind Count Entry'!B235)</f>
        <v/>
      </c>
      <c r="C237">
        <f>IF($A237="","",'Blind Count Entry'!C235)</f>
        <v/>
      </c>
      <c r="D237">
        <f>IF($A237="","",'Blind Count Entry'!D235)</f>
        <v/>
      </c>
      <c r="E237">
        <f>IF($A237="","",IFERROR(INDEX('ABC Analysis'!$F:$F,MATCH($C237,'ABC Analysis'!$A:$A,0)),""))</f>
        <v/>
      </c>
      <c r="F237">
        <f>IF($A237="","",IFERROR(INDEX('Master Inventory'!$E:$E,MATCH($C237,'Master Inventory'!$A:$A,0)),0))</f>
        <v/>
      </c>
      <c r="G237">
        <f>IF($A237="","",'Blind Count Entry'!F235)</f>
        <v/>
      </c>
      <c r="H237">
        <f>IF($A237="","",G237-F237)</f>
        <v/>
      </c>
      <c r="I237" s="17">
        <f>IF($A237="","",IF(F237=0,IF(H237=0,0,1),ABS(H237)/F237))</f>
        <v/>
      </c>
      <c r="J237" s="18">
        <f>IF($A237="","",IF($E237="A",$E$1,IF($E237="B",$G$1,$I$1)))</f>
        <v/>
      </c>
      <c r="K237">
        <f>IF($A237="","",IF(H237=0,"MATCH",IF(I237&gt;J237,"RECOUNT","WITHIN TOLERANCE")))</f>
        <v/>
      </c>
      <c r="L237" s="5" t="n"/>
      <c r="M237">
        <f>IF(OR($A237="",$L237=""),"",L237-F237)</f>
        <v/>
      </c>
      <c r="N237" s="5" t="n"/>
      <c r="O237" s="5" t="n"/>
    </row>
    <row r="238">
      <c r="A238">
        <f>IF('Blind Count Entry'!A236="","",'Blind Count Entry'!A236)</f>
        <v/>
      </c>
      <c r="B238" s="16">
        <f>IF($A238="","",'Blind Count Entry'!B236)</f>
        <v/>
      </c>
      <c r="C238">
        <f>IF($A238="","",'Blind Count Entry'!C236)</f>
        <v/>
      </c>
      <c r="D238">
        <f>IF($A238="","",'Blind Count Entry'!D236)</f>
        <v/>
      </c>
      <c r="E238">
        <f>IF($A238="","",IFERROR(INDEX('ABC Analysis'!$F:$F,MATCH($C238,'ABC Analysis'!$A:$A,0)),""))</f>
        <v/>
      </c>
      <c r="F238">
        <f>IF($A238="","",IFERROR(INDEX('Master Inventory'!$E:$E,MATCH($C238,'Master Inventory'!$A:$A,0)),0))</f>
        <v/>
      </c>
      <c r="G238">
        <f>IF($A238="","",'Blind Count Entry'!F236)</f>
        <v/>
      </c>
      <c r="H238">
        <f>IF($A238="","",G238-F238)</f>
        <v/>
      </c>
      <c r="I238" s="17">
        <f>IF($A238="","",IF(F238=0,IF(H238=0,0,1),ABS(H238)/F238))</f>
        <v/>
      </c>
      <c r="J238" s="18">
        <f>IF($A238="","",IF($E238="A",$E$1,IF($E238="B",$G$1,$I$1)))</f>
        <v/>
      </c>
      <c r="K238">
        <f>IF($A238="","",IF(H238=0,"MATCH",IF(I238&gt;J238,"RECOUNT","WITHIN TOLERANCE")))</f>
        <v/>
      </c>
      <c r="L238" s="5" t="n"/>
      <c r="M238">
        <f>IF(OR($A238="",$L238=""),"",L238-F238)</f>
        <v/>
      </c>
      <c r="N238" s="5" t="n"/>
      <c r="O238" s="5" t="n"/>
    </row>
    <row r="239">
      <c r="A239">
        <f>IF('Blind Count Entry'!A237="","",'Blind Count Entry'!A237)</f>
        <v/>
      </c>
      <c r="B239" s="16">
        <f>IF($A239="","",'Blind Count Entry'!B237)</f>
        <v/>
      </c>
      <c r="C239">
        <f>IF($A239="","",'Blind Count Entry'!C237)</f>
        <v/>
      </c>
      <c r="D239">
        <f>IF($A239="","",'Blind Count Entry'!D237)</f>
        <v/>
      </c>
      <c r="E239">
        <f>IF($A239="","",IFERROR(INDEX('ABC Analysis'!$F:$F,MATCH($C239,'ABC Analysis'!$A:$A,0)),""))</f>
        <v/>
      </c>
      <c r="F239">
        <f>IF($A239="","",IFERROR(INDEX('Master Inventory'!$E:$E,MATCH($C239,'Master Inventory'!$A:$A,0)),0))</f>
        <v/>
      </c>
      <c r="G239">
        <f>IF($A239="","",'Blind Count Entry'!F237)</f>
        <v/>
      </c>
      <c r="H239">
        <f>IF($A239="","",G239-F239)</f>
        <v/>
      </c>
      <c r="I239" s="17">
        <f>IF($A239="","",IF(F239=0,IF(H239=0,0,1),ABS(H239)/F239))</f>
        <v/>
      </c>
      <c r="J239" s="18">
        <f>IF($A239="","",IF($E239="A",$E$1,IF($E239="B",$G$1,$I$1)))</f>
        <v/>
      </c>
      <c r="K239">
        <f>IF($A239="","",IF(H239=0,"MATCH",IF(I239&gt;J239,"RECOUNT","WITHIN TOLERANCE")))</f>
        <v/>
      </c>
      <c r="L239" s="5" t="n"/>
      <c r="M239">
        <f>IF(OR($A239="",$L239=""),"",L239-F239)</f>
        <v/>
      </c>
      <c r="N239" s="5" t="n"/>
      <c r="O239" s="5" t="n"/>
    </row>
    <row r="240">
      <c r="A240">
        <f>IF('Blind Count Entry'!A238="","",'Blind Count Entry'!A238)</f>
        <v/>
      </c>
      <c r="B240" s="16">
        <f>IF($A240="","",'Blind Count Entry'!B238)</f>
        <v/>
      </c>
      <c r="C240">
        <f>IF($A240="","",'Blind Count Entry'!C238)</f>
        <v/>
      </c>
      <c r="D240">
        <f>IF($A240="","",'Blind Count Entry'!D238)</f>
        <v/>
      </c>
      <c r="E240">
        <f>IF($A240="","",IFERROR(INDEX('ABC Analysis'!$F:$F,MATCH($C240,'ABC Analysis'!$A:$A,0)),""))</f>
        <v/>
      </c>
      <c r="F240">
        <f>IF($A240="","",IFERROR(INDEX('Master Inventory'!$E:$E,MATCH($C240,'Master Inventory'!$A:$A,0)),0))</f>
        <v/>
      </c>
      <c r="G240">
        <f>IF($A240="","",'Blind Count Entry'!F238)</f>
        <v/>
      </c>
      <c r="H240">
        <f>IF($A240="","",G240-F240)</f>
        <v/>
      </c>
      <c r="I240" s="17">
        <f>IF($A240="","",IF(F240=0,IF(H240=0,0,1),ABS(H240)/F240))</f>
        <v/>
      </c>
      <c r="J240" s="18">
        <f>IF($A240="","",IF($E240="A",$E$1,IF($E240="B",$G$1,$I$1)))</f>
        <v/>
      </c>
      <c r="K240">
        <f>IF($A240="","",IF(H240=0,"MATCH",IF(I240&gt;J240,"RECOUNT","WITHIN TOLERANCE")))</f>
        <v/>
      </c>
      <c r="L240" s="5" t="n"/>
      <c r="M240">
        <f>IF(OR($A240="",$L240=""),"",L240-F240)</f>
        <v/>
      </c>
      <c r="N240" s="5" t="n"/>
      <c r="O240" s="5" t="n"/>
    </row>
    <row r="241">
      <c r="A241">
        <f>IF('Blind Count Entry'!A239="","",'Blind Count Entry'!A239)</f>
        <v/>
      </c>
      <c r="B241" s="16">
        <f>IF($A241="","",'Blind Count Entry'!B239)</f>
        <v/>
      </c>
      <c r="C241">
        <f>IF($A241="","",'Blind Count Entry'!C239)</f>
        <v/>
      </c>
      <c r="D241">
        <f>IF($A241="","",'Blind Count Entry'!D239)</f>
        <v/>
      </c>
      <c r="E241">
        <f>IF($A241="","",IFERROR(INDEX('ABC Analysis'!$F:$F,MATCH($C241,'ABC Analysis'!$A:$A,0)),""))</f>
        <v/>
      </c>
      <c r="F241">
        <f>IF($A241="","",IFERROR(INDEX('Master Inventory'!$E:$E,MATCH($C241,'Master Inventory'!$A:$A,0)),0))</f>
        <v/>
      </c>
      <c r="G241">
        <f>IF($A241="","",'Blind Count Entry'!F239)</f>
        <v/>
      </c>
      <c r="H241">
        <f>IF($A241="","",G241-F241)</f>
        <v/>
      </c>
      <c r="I241" s="17">
        <f>IF($A241="","",IF(F241=0,IF(H241=0,0,1),ABS(H241)/F241))</f>
        <v/>
      </c>
      <c r="J241" s="18">
        <f>IF($A241="","",IF($E241="A",$E$1,IF($E241="B",$G$1,$I$1)))</f>
        <v/>
      </c>
      <c r="K241">
        <f>IF($A241="","",IF(H241=0,"MATCH",IF(I241&gt;J241,"RECOUNT","WITHIN TOLERANCE")))</f>
        <v/>
      </c>
      <c r="L241" s="5" t="n"/>
      <c r="M241">
        <f>IF(OR($A241="",$L241=""),"",L241-F241)</f>
        <v/>
      </c>
      <c r="N241" s="5" t="n"/>
      <c r="O241" s="5" t="n"/>
    </row>
    <row r="242">
      <c r="A242">
        <f>IF('Blind Count Entry'!A240="","",'Blind Count Entry'!A240)</f>
        <v/>
      </c>
      <c r="B242" s="16">
        <f>IF($A242="","",'Blind Count Entry'!B240)</f>
        <v/>
      </c>
      <c r="C242">
        <f>IF($A242="","",'Blind Count Entry'!C240)</f>
        <v/>
      </c>
      <c r="D242">
        <f>IF($A242="","",'Blind Count Entry'!D240)</f>
        <v/>
      </c>
      <c r="E242">
        <f>IF($A242="","",IFERROR(INDEX('ABC Analysis'!$F:$F,MATCH($C242,'ABC Analysis'!$A:$A,0)),""))</f>
        <v/>
      </c>
      <c r="F242">
        <f>IF($A242="","",IFERROR(INDEX('Master Inventory'!$E:$E,MATCH($C242,'Master Inventory'!$A:$A,0)),0))</f>
        <v/>
      </c>
      <c r="G242">
        <f>IF($A242="","",'Blind Count Entry'!F240)</f>
        <v/>
      </c>
      <c r="H242">
        <f>IF($A242="","",G242-F242)</f>
        <v/>
      </c>
      <c r="I242" s="17">
        <f>IF($A242="","",IF(F242=0,IF(H242=0,0,1),ABS(H242)/F242))</f>
        <v/>
      </c>
      <c r="J242" s="18">
        <f>IF($A242="","",IF($E242="A",$E$1,IF($E242="B",$G$1,$I$1)))</f>
        <v/>
      </c>
      <c r="K242">
        <f>IF($A242="","",IF(H242=0,"MATCH",IF(I242&gt;J242,"RECOUNT","WITHIN TOLERANCE")))</f>
        <v/>
      </c>
      <c r="L242" s="5" t="n"/>
      <c r="M242">
        <f>IF(OR($A242="",$L242=""),"",L242-F242)</f>
        <v/>
      </c>
      <c r="N242" s="5" t="n"/>
      <c r="O242" s="5" t="n"/>
    </row>
    <row r="243">
      <c r="A243">
        <f>IF('Blind Count Entry'!A241="","",'Blind Count Entry'!A241)</f>
        <v/>
      </c>
      <c r="B243" s="16">
        <f>IF($A243="","",'Blind Count Entry'!B241)</f>
        <v/>
      </c>
      <c r="C243">
        <f>IF($A243="","",'Blind Count Entry'!C241)</f>
        <v/>
      </c>
      <c r="D243">
        <f>IF($A243="","",'Blind Count Entry'!D241)</f>
        <v/>
      </c>
      <c r="E243">
        <f>IF($A243="","",IFERROR(INDEX('ABC Analysis'!$F:$F,MATCH($C243,'ABC Analysis'!$A:$A,0)),""))</f>
        <v/>
      </c>
      <c r="F243">
        <f>IF($A243="","",IFERROR(INDEX('Master Inventory'!$E:$E,MATCH($C243,'Master Inventory'!$A:$A,0)),0))</f>
        <v/>
      </c>
      <c r="G243">
        <f>IF($A243="","",'Blind Count Entry'!F241)</f>
        <v/>
      </c>
      <c r="H243">
        <f>IF($A243="","",G243-F243)</f>
        <v/>
      </c>
      <c r="I243" s="17">
        <f>IF($A243="","",IF(F243=0,IF(H243=0,0,1),ABS(H243)/F243))</f>
        <v/>
      </c>
      <c r="J243" s="18">
        <f>IF($A243="","",IF($E243="A",$E$1,IF($E243="B",$G$1,$I$1)))</f>
        <v/>
      </c>
      <c r="K243">
        <f>IF($A243="","",IF(H243=0,"MATCH",IF(I243&gt;J243,"RECOUNT","WITHIN TOLERANCE")))</f>
        <v/>
      </c>
      <c r="L243" s="5" t="n"/>
      <c r="M243">
        <f>IF(OR($A243="",$L243=""),"",L243-F243)</f>
        <v/>
      </c>
      <c r="N243" s="5" t="n"/>
      <c r="O243" s="5" t="n"/>
    </row>
    <row r="244">
      <c r="A244">
        <f>IF('Blind Count Entry'!A242="","",'Blind Count Entry'!A242)</f>
        <v/>
      </c>
      <c r="B244" s="16">
        <f>IF($A244="","",'Blind Count Entry'!B242)</f>
        <v/>
      </c>
      <c r="C244">
        <f>IF($A244="","",'Blind Count Entry'!C242)</f>
        <v/>
      </c>
      <c r="D244">
        <f>IF($A244="","",'Blind Count Entry'!D242)</f>
        <v/>
      </c>
      <c r="E244">
        <f>IF($A244="","",IFERROR(INDEX('ABC Analysis'!$F:$F,MATCH($C244,'ABC Analysis'!$A:$A,0)),""))</f>
        <v/>
      </c>
      <c r="F244">
        <f>IF($A244="","",IFERROR(INDEX('Master Inventory'!$E:$E,MATCH($C244,'Master Inventory'!$A:$A,0)),0))</f>
        <v/>
      </c>
      <c r="G244">
        <f>IF($A244="","",'Blind Count Entry'!F242)</f>
        <v/>
      </c>
      <c r="H244">
        <f>IF($A244="","",G244-F244)</f>
        <v/>
      </c>
      <c r="I244" s="17">
        <f>IF($A244="","",IF(F244=0,IF(H244=0,0,1),ABS(H244)/F244))</f>
        <v/>
      </c>
      <c r="J244" s="18">
        <f>IF($A244="","",IF($E244="A",$E$1,IF($E244="B",$G$1,$I$1)))</f>
        <v/>
      </c>
      <c r="K244">
        <f>IF($A244="","",IF(H244=0,"MATCH",IF(I244&gt;J244,"RECOUNT","WITHIN TOLERANCE")))</f>
        <v/>
      </c>
      <c r="L244" s="5" t="n"/>
      <c r="M244">
        <f>IF(OR($A244="",$L244=""),"",L244-F244)</f>
        <v/>
      </c>
      <c r="N244" s="5" t="n"/>
      <c r="O244" s="5" t="n"/>
    </row>
    <row r="245">
      <c r="A245">
        <f>IF('Blind Count Entry'!A243="","",'Blind Count Entry'!A243)</f>
        <v/>
      </c>
      <c r="B245" s="16">
        <f>IF($A245="","",'Blind Count Entry'!B243)</f>
        <v/>
      </c>
      <c r="C245">
        <f>IF($A245="","",'Blind Count Entry'!C243)</f>
        <v/>
      </c>
      <c r="D245">
        <f>IF($A245="","",'Blind Count Entry'!D243)</f>
        <v/>
      </c>
      <c r="E245">
        <f>IF($A245="","",IFERROR(INDEX('ABC Analysis'!$F:$F,MATCH($C245,'ABC Analysis'!$A:$A,0)),""))</f>
        <v/>
      </c>
      <c r="F245">
        <f>IF($A245="","",IFERROR(INDEX('Master Inventory'!$E:$E,MATCH($C245,'Master Inventory'!$A:$A,0)),0))</f>
        <v/>
      </c>
      <c r="G245">
        <f>IF($A245="","",'Blind Count Entry'!F243)</f>
        <v/>
      </c>
      <c r="H245">
        <f>IF($A245="","",G245-F245)</f>
        <v/>
      </c>
      <c r="I245" s="17">
        <f>IF($A245="","",IF(F245=0,IF(H245=0,0,1),ABS(H245)/F245))</f>
        <v/>
      </c>
      <c r="J245" s="18">
        <f>IF($A245="","",IF($E245="A",$E$1,IF($E245="B",$G$1,$I$1)))</f>
        <v/>
      </c>
      <c r="K245">
        <f>IF($A245="","",IF(H245=0,"MATCH",IF(I245&gt;J245,"RECOUNT","WITHIN TOLERANCE")))</f>
        <v/>
      </c>
      <c r="L245" s="5" t="n"/>
      <c r="M245">
        <f>IF(OR($A245="",$L245=""),"",L245-F245)</f>
        <v/>
      </c>
      <c r="N245" s="5" t="n"/>
      <c r="O245" s="5" t="n"/>
    </row>
    <row r="246">
      <c r="A246">
        <f>IF('Blind Count Entry'!A244="","",'Blind Count Entry'!A244)</f>
        <v/>
      </c>
      <c r="B246" s="16">
        <f>IF($A246="","",'Blind Count Entry'!B244)</f>
        <v/>
      </c>
      <c r="C246">
        <f>IF($A246="","",'Blind Count Entry'!C244)</f>
        <v/>
      </c>
      <c r="D246">
        <f>IF($A246="","",'Blind Count Entry'!D244)</f>
        <v/>
      </c>
      <c r="E246">
        <f>IF($A246="","",IFERROR(INDEX('ABC Analysis'!$F:$F,MATCH($C246,'ABC Analysis'!$A:$A,0)),""))</f>
        <v/>
      </c>
      <c r="F246">
        <f>IF($A246="","",IFERROR(INDEX('Master Inventory'!$E:$E,MATCH($C246,'Master Inventory'!$A:$A,0)),0))</f>
        <v/>
      </c>
      <c r="G246">
        <f>IF($A246="","",'Blind Count Entry'!F244)</f>
        <v/>
      </c>
      <c r="H246">
        <f>IF($A246="","",G246-F246)</f>
        <v/>
      </c>
      <c r="I246" s="17">
        <f>IF($A246="","",IF(F246=0,IF(H246=0,0,1),ABS(H246)/F246))</f>
        <v/>
      </c>
      <c r="J246" s="18">
        <f>IF($A246="","",IF($E246="A",$E$1,IF($E246="B",$G$1,$I$1)))</f>
        <v/>
      </c>
      <c r="K246">
        <f>IF($A246="","",IF(H246=0,"MATCH",IF(I246&gt;J246,"RECOUNT","WITHIN TOLERANCE")))</f>
        <v/>
      </c>
      <c r="L246" s="5" t="n"/>
      <c r="M246">
        <f>IF(OR($A246="",$L246=""),"",L246-F246)</f>
        <v/>
      </c>
      <c r="N246" s="5" t="n"/>
      <c r="O246" s="5" t="n"/>
    </row>
    <row r="247">
      <c r="A247">
        <f>IF('Blind Count Entry'!A245="","",'Blind Count Entry'!A245)</f>
        <v/>
      </c>
      <c r="B247" s="16">
        <f>IF($A247="","",'Blind Count Entry'!B245)</f>
        <v/>
      </c>
      <c r="C247">
        <f>IF($A247="","",'Blind Count Entry'!C245)</f>
        <v/>
      </c>
      <c r="D247">
        <f>IF($A247="","",'Blind Count Entry'!D245)</f>
        <v/>
      </c>
      <c r="E247">
        <f>IF($A247="","",IFERROR(INDEX('ABC Analysis'!$F:$F,MATCH($C247,'ABC Analysis'!$A:$A,0)),""))</f>
        <v/>
      </c>
      <c r="F247">
        <f>IF($A247="","",IFERROR(INDEX('Master Inventory'!$E:$E,MATCH($C247,'Master Inventory'!$A:$A,0)),0))</f>
        <v/>
      </c>
      <c r="G247">
        <f>IF($A247="","",'Blind Count Entry'!F245)</f>
        <v/>
      </c>
      <c r="H247">
        <f>IF($A247="","",G247-F247)</f>
        <v/>
      </c>
      <c r="I247" s="17">
        <f>IF($A247="","",IF(F247=0,IF(H247=0,0,1),ABS(H247)/F247))</f>
        <v/>
      </c>
      <c r="J247" s="18">
        <f>IF($A247="","",IF($E247="A",$E$1,IF($E247="B",$G$1,$I$1)))</f>
        <v/>
      </c>
      <c r="K247">
        <f>IF($A247="","",IF(H247=0,"MATCH",IF(I247&gt;J247,"RECOUNT","WITHIN TOLERANCE")))</f>
        <v/>
      </c>
      <c r="L247" s="5" t="n"/>
      <c r="M247">
        <f>IF(OR($A247="",$L247=""),"",L247-F247)</f>
        <v/>
      </c>
      <c r="N247" s="5" t="n"/>
      <c r="O247" s="5" t="n"/>
    </row>
    <row r="248">
      <c r="A248">
        <f>IF('Blind Count Entry'!A246="","",'Blind Count Entry'!A246)</f>
        <v/>
      </c>
      <c r="B248" s="16">
        <f>IF($A248="","",'Blind Count Entry'!B246)</f>
        <v/>
      </c>
      <c r="C248">
        <f>IF($A248="","",'Blind Count Entry'!C246)</f>
        <v/>
      </c>
      <c r="D248">
        <f>IF($A248="","",'Blind Count Entry'!D246)</f>
        <v/>
      </c>
      <c r="E248">
        <f>IF($A248="","",IFERROR(INDEX('ABC Analysis'!$F:$F,MATCH($C248,'ABC Analysis'!$A:$A,0)),""))</f>
        <v/>
      </c>
      <c r="F248">
        <f>IF($A248="","",IFERROR(INDEX('Master Inventory'!$E:$E,MATCH($C248,'Master Inventory'!$A:$A,0)),0))</f>
        <v/>
      </c>
      <c r="G248">
        <f>IF($A248="","",'Blind Count Entry'!F246)</f>
        <v/>
      </c>
      <c r="H248">
        <f>IF($A248="","",G248-F248)</f>
        <v/>
      </c>
      <c r="I248" s="17">
        <f>IF($A248="","",IF(F248=0,IF(H248=0,0,1),ABS(H248)/F248))</f>
        <v/>
      </c>
      <c r="J248" s="18">
        <f>IF($A248="","",IF($E248="A",$E$1,IF($E248="B",$G$1,$I$1)))</f>
        <v/>
      </c>
      <c r="K248">
        <f>IF($A248="","",IF(H248=0,"MATCH",IF(I248&gt;J248,"RECOUNT","WITHIN TOLERANCE")))</f>
        <v/>
      </c>
      <c r="L248" s="5" t="n"/>
      <c r="M248">
        <f>IF(OR($A248="",$L248=""),"",L248-F248)</f>
        <v/>
      </c>
      <c r="N248" s="5" t="n"/>
      <c r="O248" s="5" t="n"/>
    </row>
    <row r="249">
      <c r="A249">
        <f>IF('Blind Count Entry'!A247="","",'Blind Count Entry'!A247)</f>
        <v/>
      </c>
      <c r="B249" s="16">
        <f>IF($A249="","",'Blind Count Entry'!B247)</f>
        <v/>
      </c>
      <c r="C249">
        <f>IF($A249="","",'Blind Count Entry'!C247)</f>
        <v/>
      </c>
      <c r="D249">
        <f>IF($A249="","",'Blind Count Entry'!D247)</f>
        <v/>
      </c>
      <c r="E249">
        <f>IF($A249="","",IFERROR(INDEX('ABC Analysis'!$F:$F,MATCH($C249,'ABC Analysis'!$A:$A,0)),""))</f>
        <v/>
      </c>
      <c r="F249">
        <f>IF($A249="","",IFERROR(INDEX('Master Inventory'!$E:$E,MATCH($C249,'Master Inventory'!$A:$A,0)),0))</f>
        <v/>
      </c>
      <c r="G249">
        <f>IF($A249="","",'Blind Count Entry'!F247)</f>
        <v/>
      </c>
      <c r="H249">
        <f>IF($A249="","",G249-F249)</f>
        <v/>
      </c>
      <c r="I249" s="17">
        <f>IF($A249="","",IF(F249=0,IF(H249=0,0,1),ABS(H249)/F249))</f>
        <v/>
      </c>
      <c r="J249" s="18">
        <f>IF($A249="","",IF($E249="A",$E$1,IF($E249="B",$G$1,$I$1)))</f>
        <v/>
      </c>
      <c r="K249">
        <f>IF($A249="","",IF(H249=0,"MATCH",IF(I249&gt;J249,"RECOUNT","WITHIN TOLERANCE")))</f>
        <v/>
      </c>
      <c r="L249" s="5" t="n"/>
      <c r="M249">
        <f>IF(OR($A249="",$L249=""),"",L249-F249)</f>
        <v/>
      </c>
      <c r="N249" s="5" t="n"/>
      <c r="O249" s="5" t="n"/>
    </row>
    <row r="250">
      <c r="A250">
        <f>IF('Blind Count Entry'!A248="","",'Blind Count Entry'!A248)</f>
        <v/>
      </c>
      <c r="B250" s="16">
        <f>IF($A250="","",'Blind Count Entry'!B248)</f>
        <v/>
      </c>
      <c r="C250">
        <f>IF($A250="","",'Blind Count Entry'!C248)</f>
        <v/>
      </c>
      <c r="D250">
        <f>IF($A250="","",'Blind Count Entry'!D248)</f>
        <v/>
      </c>
      <c r="E250">
        <f>IF($A250="","",IFERROR(INDEX('ABC Analysis'!$F:$F,MATCH($C250,'ABC Analysis'!$A:$A,0)),""))</f>
        <v/>
      </c>
      <c r="F250">
        <f>IF($A250="","",IFERROR(INDEX('Master Inventory'!$E:$E,MATCH($C250,'Master Inventory'!$A:$A,0)),0))</f>
        <v/>
      </c>
      <c r="G250">
        <f>IF($A250="","",'Blind Count Entry'!F248)</f>
        <v/>
      </c>
      <c r="H250">
        <f>IF($A250="","",G250-F250)</f>
        <v/>
      </c>
      <c r="I250" s="17">
        <f>IF($A250="","",IF(F250=0,IF(H250=0,0,1),ABS(H250)/F250))</f>
        <v/>
      </c>
      <c r="J250" s="18">
        <f>IF($A250="","",IF($E250="A",$E$1,IF($E250="B",$G$1,$I$1)))</f>
        <v/>
      </c>
      <c r="K250">
        <f>IF($A250="","",IF(H250=0,"MATCH",IF(I250&gt;J250,"RECOUNT","WITHIN TOLERANCE")))</f>
        <v/>
      </c>
      <c r="L250" s="5" t="n"/>
      <c r="M250">
        <f>IF(OR($A250="",$L250=""),"",L250-F250)</f>
        <v/>
      </c>
      <c r="N250" s="5" t="n"/>
      <c r="O250" s="5" t="n"/>
    </row>
    <row r="251">
      <c r="A251">
        <f>IF('Blind Count Entry'!A249="","",'Blind Count Entry'!A249)</f>
        <v/>
      </c>
      <c r="B251" s="16">
        <f>IF($A251="","",'Blind Count Entry'!B249)</f>
        <v/>
      </c>
      <c r="C251">
        <f>IF($A251="","",'Blind Count Entry'!C249)</f>
        <v/>
      </c>
      <c r="D251">
        <f>IF($A251="","",'Blind Count Entry'!D249)</f>
        <v/>
      </c>
      <c r="E251">
        <f>IF($A251="","",IFERROR(INDEX('ABC Analysis'!$F:$F,MATCH($C251,'ABC Analysis'!$A:$A,0)),""))</f>
        <v/>
      </c>
      <c r="F251">
        <f>IF($A251="","",IFERROR(INDEX('Master Inventory'!$E:$E,MATCH($C251,'Master Inventory'!$A:$A,0)),0))</f>
        <v/>
      </c>
      <c r="G251">
        <f>IF($A251="","",'Blind Count Entry'!F249)</f>
        <v/>
      </c>
      <c r="H251">
        <f>IF($A251="","",G251-F251)</f>
        <v/>
      </c>
      <c r="I251" s="17">
        <f>IF($A251="","",IF(F251=0,IF(H251=0,0,1),ABS(H251)/F251))</f>
        <v/>
      </c>
      <c r="J251" s="18">
        <f>IF($A251="","",IF($E251="A",$E$1,IF($E251="B",$G$1,$I$1)))</f>
        <v/>
      </c>
      <c r="K251">
        <f>IF($A251="","",IF(H251=0,"MATCH",IF(I251&gt;J251,"RECOUNT","WITHIN TOLERANCE")))</f>
        <v/>
      </c>
      <c r="L251" s="5" t="n"/>
      <c r="M251">
        <f>IF(OR($A251="",$L251=""),"",L251-F251)</f>
        <v/>
      </c>
      <c r="N251" s="5" t="n"/>
      <c r="O251" s="5" t="n"/>
    </row>
    <row r="252">
      <c r="A252">
        <f>IF('Blind Count Entry'!A250="","",'Blind Count Entry'!A250)</f>
        <v/>
      </c>
      <c r="B252" s="16">
        <f>IF($A252="","",'Blind Count Entry'!B250)</f>
        <v/>
      </c>
      <c r="C252">
        <f>IF($A252="","",'Blind Count Entry'!C250)</f>
        <v/>
      </c>
      <c r="D252">
        <f>IF($A252="","",'Blind Count Entry'!D250)</f>
        <v/>
      </c>
      <c r="E252">
        <f>IF($A252="","",IFERROR(INDEX('ABC Analysis'!$F:$F,MATCH($C252,'ABC Analysis'!$A:$A,0)),""))</f>
        <v/>
      </c>
      <c r="F252">
        <f>IF($A252="","",IFERROR(INDEX('Master Inventory'!$E:$E,MATCH($C252,'Master Inventory'!$A:$A,0)),0))</f>
        <v/>
      </c>
      <c r="G252">
        <f>IF($A252="","",'Blind Count Entry'!F250)</f>
        <v/>
      </c>
      <c r="H252">
        <f>IF($A252="","",G252-F252)</f>
        <v/>
      </c>
      <c r="I252" s="17">
        <f>IF($A252="","",IF(F252=0,IF(H252=0,0,1),ABS(H252)/F252))</f>
        <v/>
      </c>
      <c r="J252" s="18">
        <f>IF($A252="","",IF($E252="A",$E$1,IF($E252="B",$G$1,$I$1)))</f>
        <v/>
      </c>
      <c r="K252">
        <f>IF($A252="","",IF(H252=0,"MATCH",IF(I252&gt;J252,"RECOUNT","WITHIN TOLERANCE")))</f>
        <v/>
      </c>
      <c r="L252" s="5" t="n"/>
      <c r="M252">
        <f>IF(OR($A252="",$L252=""),"",L252-F252)</f>
        <v/>
      </c>
      <c r="N252" s="5" t="n"/>
      <c r="O252" s="5" t="n"/>
    </row>
    <row r="253">
      <c r="A253">
        <f>IF('Blind Count Entry'!A251="","",'Blind Count Entry'!A251)</f>
        <v/>
      </c>
      <c r="B253" s="16">
        <f>IF($A253="","",'Blind Count Entry'!B251)</f>
        <v/>
      </c>
      <c r="C253">
        <f>IF($A253="","",'Blind Count Entry'!C251)</f>
        <v/>
      </c>
      <c r="D253">
        <f>IF($A253="","",'Blind Count Entry'!D251)</f>
        <v/>
      </c>
      <c r="E253">
        <f>IF($A253="","",IFERROR(INDEX('ABC Analysis'!$F:$F,MATCH($C253,'ABC Analysis'!$A:$A,0)),""))</f>
        <v/>
      </c>
      <c r="F253">
        <f>IF($A253="","",IFERROR(INDEX('Master Inventory'!$E:$E,MATCH($C253,'Master Inventory'!$A:$A,0)),0))</f>
        <v/>
      </c>
      <c r="G253">
        <f>IF($A253="","",'Blind Count Entry'!F251)</f>
        <v/>
      </c>
      <c r="H253">
        <f>IF($A253="","",G253-F253)</f>
        <v/>
      </c>
      <c r="I253" s="17">
        <f>IF($A253="","",IF(F253=0,IF(H253=0,0,1),ABS(H253)/F253))</f>
        <v/>
      </c>
      <c r="J253" s="18">
        <f>IF($A253="","",IF($E253="A",$E$1,IF($E253="B",$G$1,$I$1)))</f>
        <v/>
      </c>
      <c r="K253">
        <f>IF($A253="","",IF(H253=0,"MATCH",IF(I253&gt;J253,"RECOUNT","WITHIN TOLERANCE")))</f>
        <v/>
      </c>
      <c r="L253" s="5" t="n"/>
      <c r="M253">
        <f>IF(OR($A253="",$L253=""),"",L253-F253)</f>
        <v/>
      </c>
      <c r="N253" s="5" t="n"/>
      <c r="O253" s="5" t="n"/>
    </row>
    <row r="254">
      <c r="A254">
        <f>IF('Blind Count Entry'!A252="","",'Blind Count Entry'!A252)</f>
        <v/>
      </c>
      <c r="B254" s="16">
        <f>IF($A254="","",'Blind Count Entry'!B252)</f>
        <v/>
      </c>
      <c r="C254">
        <f>IF($A254="","",'Blind Count Entry'!C252)</f>
        <v/>
      </c>
      <c r="D254">
        <f>IF($A254="","",'Blind Count Entry'!D252)</f>
        <v/>
      </c>
      <c r="E254">
        <f>IF($A254="","",IFERROR(INDEX('ABC Analysis'!$F:$F,MATCH($C254,'ABC Analysis'!$A:$A,0)),""))</f>
        <v/>
      </c>
      <c r="F254">
        <f>IF($A254="","",IFERROR(INDEX('Master Inventory'!$E:$E,MATCH($C254,'Master Inventory'!$A:$A,0)),0))</f>
        <v/>
      </c>
      <c r="G254">
        <f>IF($A254="","",'Blind Count Entry'!F252)</f>
        <v/>
      </c>
      <c r="H254">
        <f>IF($A254="","",G254-F254)</f>
        <v/>
      </c>
      <c r="I254" s="17">
        <f>IF($A254="","",IF(F254=0,IF(H254=0,0,1),ABS(H254)/F254))</f>
        <v/>
      </c>
      <c r="J254" s="18">
        <f>IF($A254="","",IF($E254="A",$E$1,IF($E254="B",$G$1,$I$1)))</f>
        <v/>
      </c>
      <c r="K254">
        <f>IF($A254="","",IF(H254=0,"MATCH",IF(I254&gt;J254,"RECOUNT","WITHIN TOLERANCE")))</f>
        <v/>
      </c>
      <c r="L254" s="5" t="n"/>
      <c r="M254">
        <f>IF(OR($A254="",$L254=""),"",L254-F254)</f>
        <v/>
      </c>
      <c r="N254" s="5" t="n"/>
      <c r="O254" s="5" t="n"/>
    </row>
    <row r="255">
      <c r="A255">
        <f>IF('Blind Count Entry'!A253="","",'Blind Count Entry'!A253)</f>
        <v/>
      </c>
      <c r="B255" s="16">
        <f>IF($A255="","",'Blind Count Entry'!B253)</f>
        <v/>
      </c>
      <c r="C255">
        <f>IF($A255="","",'Blind Count Entry'!C253)</f>
        <v/>
      </c>
      <c r="D255">
        <f>IF($A255="","",'Blind Count Entry'!D253)</f>
        <v/>
      </c>
      <c r="E255">
        <f>IF($A255="","",IFERROR(INDEX('ABC Analysis'!$F:$F,MATCH($C255,'ABC Analysis'!$A:$A,0)),""))</f>
        <v/>
      </c>
      <c r="F255">
        <f>IF($A255="","",IFERROR(INDEX('Master Inventory'!$E:$E,MATCH($C255,'Master Inventory'!$A:$A,0)),0))</f>
        <v/>
      </c>
      <c r="G255">
        <f>IF($A255="","",'Blind Count Entry'!F253)</f>
        <v/>
      </c>
      <c r="H255">
        <f>IF($A255="","",G255-F255)</f>
        <v/>
      </c>
      <c r="I255" s="17">
        <f>IF($A255="","",IF(F255=0,IF(H255=0,0,1),ABS(H255)/F255))</f>
        <v/>
      </c>
      <c r="J255" s="18">
        <f>IF($A255="","",IF($E255="A",$E$1,IF($E255="B",$G$1,$I$1)))</f>
        <v/>
      </c>
      <c r="K255">
        <f>IF($A255="","",IF(H255=0,"MATCH",IF(I255&gt;J255,"RECOUNT","WITHIN TOLERANCE")))</f>
        <v/>
      </c>
      <c r="L255" s="5" t="n"/>
      <c r="M255">
        <f>IF(OR($A255="",$L255=""),"",L255-F255)</f>
        <v/>
      </c>
      <c r="N255" s="5" t="n"/>
      <c r="O255" s="5" t="n"/>
    </row>
    <row r="256">
      <c r="A256">
        <f>IF('Blind Count Entry'!A254="","",'Blind Count Entry'!A254)</f>
        <v/>
      </c>
      <c r="B256" s="16">
        <f>IF($A256="","",'Blind Count Entry'!B254)</f>
        <v/>
      </c>
      <c r="C256">
        <f>IF($A256="","",'Blind Count Entry'!C254)</f>
        <v/>
      </c>
      <c r="D256">
        <f>IF($A256="","",'Blind Count Entry'!D254)</f>
        <v/>
      </c>
      <c r="E256">
        <f>IF($A256="","",IFERROR(INDEX('ABC Analysis'!$F:$F,MATCH($C256,'ABC Analysis'!$A:$A,0)),""))</f>
        <v/>
      </c>
      <c r="F256">
        <f>IF($A256="","",IFERROR(INDEX('Master Inventory'!$E:$E,MATCH($C256,'Master Inventory'!$A:$A,0)),0))</f>
        <v/>
      </c>
      <c r="G256">
        <f>IF($A256="","",'Blind Count Entry'!F254)</f>
        <v/>
      </c>
      <c r="H256">
        <f>IF($A256="","",G256-F256)</f>
        <v/>
      </c>
      <c r="I256" s="17">
        <f>IF($A256="","",IF(F256=0,IF(H256=0,0,1),ABS(H256)/F256))</f>
        <v/>
      </c>
      <c r="J256" s="18">
        <f>IF($A256="","",IF($E256="A",$E$1,IF($E256="B",$G$1,$I$1)))</f>
        <v/>
      </c>
      <c r="K256">
        <f>IF($A256="","",IF(H256=0,"MATCH",IF(I256&gt;J256,"RECOUNT","WITHIN TOLERANCE")))</f>
        <v/>
      </c>
      <c r="L256" s="5" t="n"/>
      <c r="M256">
        <f>IF(OR($A256="",$L256=""),"",L256-F256)</f>
        <v/>
      </c>
      <c r="N256" s="5" t="n"/>
      <c r="O256" s="5" t="n"/>
    </row>
    <row r="257">
      <c r="A257">
        <f>IF('Blind Count Entry'!A255="","",'Blind Count Entry'!A255)</f>
        <v/>
      </c>
      <c r="B257" s="16">
        <f>IF($A257="","",'Blind Count Entry'!B255)</f>
        <v/>
      </c>
      <c r="C257">
        <f>IF($A257="","",'Blind Count Entry'!C255)</f>
        <v/>
      </c>
      <c r="D257">
        <f>IF($A257="","",'Blind Count Entry'!D255)</f>
        <v/>
      </c>
      <c r="E257">
        <f>IF($A257="","",IFERROR(INDEX('ABC Analysis'!$F:$F,MATCH($C257,'ABC Analysis'!$A:$A,0)),""))</f>
        <v/>
      </c>
      <c r="F257">
        <f>IF($A257="","",IFERROR(INDEX('Master Inventory'!$E:$E,MATCH($C257,'Master Inventory'!$A:$A,0)),0))</f>
        <v/>
      </c>
      <c r="G257">
        <f>IF($A257="","",'Blind Count Entry'!F255)</f>
        <v/>
      </c>
      <c r="H257">
        <f>IF($A257="","",G257-F257)</f>
        <v/>
      </c>
      <c r="I257" s="17">
        <f>IF($A257="","",IF(F257=0,IF(H257=0,0,1),ABS(H257)/F257))</f>
        <v/>
      </c>
      <c r="J257" s="18">
        <f>IF($A257="","",IF($E257="A",$E$1,IF($E257="B",$G$1,$I$1)))</f>
        <v/>
      </c>
      <c r="K257">
        <f>IF($A257="","",IF(H257=0,"MATCH",IF(I257&gt;J257,"RECOUNT","WITHIN TOLERANCE")))</f>
        <v/>
      </c>
      <c r="L257" s="5" t="n"/>
      <c r="M257">
        <f>IF(OR($A257="",$L257=""),"",L257-F257)</f>
        <v/>
      </c>
      <c r="N257" s="5" t="n"/>
      <c r="O257" s="5" t="n"/>
    </row>
    <row r="258">
      <c r="A258">
        <f>IF('Blind Count Entry'!A256="","",'Blind Count Entry'!A256)</f>
        <v/>
      </c>
      <c r="B258" s="16">
        <f>IF($A258="","",'Blind Count Entry'!B256)</f>
        <v/>
      </c>
      <c r="C258">
        <f>IF($A258="","",'Blind Count Entry'!C256)</f>
        <v/>
      </c>
      <c r="D258">
        <f>IF($A258="","",'Blind Count Entry'!D256)</f>
        <v/>
      </c>
      <c r="E258">
        <f>IF($A258="","",IFERROR(INDEX('ABC Analysis'!$F:$F,MATCH($C258,'ABC Analysis'!$A:$A,0)),""))</f>
        <v/>
      </c>
      <c r="F258">
        <f>IF($A258="","",IFERROR(INDEX('Master Inventory'!$E:$E,MATCH($C258,'Master Inventory'!$A:$A,0)),0))</f>
        <v/>
      </c>
      <c r="G258">
        <f>IF($A258="","",'Blind Count Entry'!F256)</f>
        <v/>
      </c>
      <c r="H258">
        <f>IF($A258="","",G258-F258)</f>
        <v/>
      </c>
      <c r="I258" s="17">
        <f>IF($A258="","",IF(F258=0,IF(H258=0,0,1),ABS(H258)/F258))</f>
        <v/>
      </c>
      <c r="J258" s="18">
        <f>IF($A258="","",IF($E258="A",$E$1,IF($E258="B",$G$1,$I$1)))</f>
        <v/>
      </c>
      <c r="K258">
        <f>IF($A258="","",IF(H258=0,"MATCH",IF(I258&gt;J258,"RECOUNT","WITHIN TOLERANCE")))</f>
        <v/>
      </c>
      <c r="L258" s="5" t="n"/>
      <c r="M258">
        <f>IF(OR($A258="",$L258=""),"",L258-F258)</f>
        <v/>
      </c>
      <c r="N258" s="5" t="n"/>
      <c r="O258" s="5" t="n"/>
    </row>
    <row r="259">
      <c r="A259">
        <f>IF('Blind Count Entry'!A257="","",'Blind Count Entry'!A257)</f>
        <v/>
      </c>
      <c r="B259" s="16">
        <f>IF($A259="","",'Blind Count Entry'!B257)</f>
        <v/>
      </c>
      <c r="C259">
        <f>IF($A259="","",'Blind Count Entry'!C257)</f>
        <v/>
      </c>
      <c r="D259">
        <f>IF($A259="","",'Blind Count Entry'!D257)</f>
        <v/>
      </c>
      <c r="E259">
        <f>IF($A259="","",IFERROR(INDEX('ABC Analysis'!$F:$F,MATCH($C259,'ABC Analysis'!$A:$A,0)),""))</f>
        <v/>
      </c>
      <c r="F259">
        <f>IF($A259="","",IFERROR(INDEX('Master Inventory'!$E:$E,MATCH($C259,'Master Inventory'!$A:$A,0)),0))</f>
        <v/>
      </c>
      <c r="G259">
        <f>IF($A259="","",'Blind Count Entry'!F257)</f>
        <v/>
      </c>
      <c r="H259">
        <f>IF($A259="","",G259-F259)</f>
        <v/>
      </c>
      <c r="I259" s="17">
        <f>IF($A259="","",IF(F259=0,IF(H259=0,0,1),ABS(H259)/F259))</f>
        <v/>
      </c>
      <c r="J259" s="18">
        <f>IF($A259="","",IF($E259="A",$E$1,IF($E259="B",$G$1,$I$1)))</f>
        <v/>
      </c>
      <c r="K259">
        <f>IF($A259="","",IF(H259=0,"MATCH",IF(I259&gt;J259,"RECOUNT","WITHIN TOLERANCE")))</f>
        <v/>
      </c>
      <c r="L259" s="5" t="n"/>
      <c r="M259">
        <f>IF(OR($A259="",$L259=""),"",L259-F259)</f>
        <v/>
      </c>
      <c r="N259" s="5" t="n"/>
      <c r="O259" s="5" t="n"/>
    </row>
    <row r="260">
      <c r="A260">
        <f>IF('Blind Count Entry'!A258="","",'Blind Count Entry'!A258)</f>
        <v/>
      </c>
      <c r="B260" s="16">
        <f>IF($A260="","",'Blind Count Entry'!B258)</f>
        <v/>
      </c>
      <c r="C260">
        <f>IF($A260="","",'Blind Count Entry'!C258)</f>
        <v/>
      </c>
      <c r="D260">
        <f>IF($A260="","",'Blind Count Entry'!D258)</f>
        <v/>
      </c>
      <c r="E260">
        <f>IF($A260="","",IFERROR(INDEX('ABC Analysis'!$F:$F,MATCH($C260,'ABC Analysis'!$A:$A,0)),""))</f>
        <v/>
      </c>
      <c r="F260">
        <f>IF($A260="","",IFERROR(INDEX('Master Inventory'!$E:$E,MATCH($C260,'Master Inventory'!$A:$A,0)),0))</f>
        <v/>
      </c>
      <c r="G260">
        <f>IF($A260="","",'Blind Count Entry'!F258)</f>
        <v/>
      </c>
      <c r="H260">
        <f>IF($A260="","",G260-F260)</f>
        <v/>
      </c>
      <c r="I260" s="17">
        <f>IF($A260="","",IF(F260=0,IF(H260=0,0,1),ABS(H260)/F260))</f>
        <v/>
      </c>
      <c r="J260" s="18">
        <f>IF($A260="","",IF($E260="A",$E$1,IF($E260="B",$G$1,$I$1)))</f>
        <v/>
      </c>
      <c r="K260">
        <f>IF($A260="","",IF(H260=0,"MATCH",IF(I260&gt;J260,"RECOUNT","WITHIN TOLERANCE")))</f>
        <v/>
      </c>
      <c r="L260" s="5" t="n"/>
      <c r="M260">
        <f>IF(OR($A260="",$L260=""),"",L260-F260)</f>
        <v/>
      </c>
      <c r="N260" s="5" t="n"/>
      <c r="O260" s="5" t="n"/>
    </row>
    <row r="261">
      <c r="A261">
        <f>IF('Blind Count Entry'!A259="","",'Blind Count Entry'!A259)</f>
        <v/>
      </c>
      <c r="B261" s="16">
        <f>IF($A261="","",'Blind Count Entry'!B259)</f>
        <v/>
      </c>
      <c r="C261">
        <f>IF($A261="","",'Blind Count Entry'!C259)</f>
        <v/>
      </c>
      <c r="D261">
        <f>IF($A261="","",'Blind Count Entry'!D259)</f>
        <v/>
      </c>
      <c r="E261">
        <f>IF($A261="","",IFERROR(INDEX('ABC Analysis'!$F:$F,MATCH($C261,'ABC Analysis'!$A:$A,0)),""))</f>
        <v/>
      </c>
      <c r="F261">
        <f>IF($A261="","",IFERROR(INDEX('Master Inventory'!$E:$E,MATCH($C261,'Master Inventory'!$A:$A,0)),0))</f>
        <v/>
      </c>
      <c r="G261">
        <f>IF($A261="","",'Blind Count Entry'!F259)</f>
        <v/>
      </c>
      <c r="H261">
        <f>IF($A261="","",G261-F261)</f>
        <v/>
      </c>
      <c r="I261" s="17">
        <f>IF($A261="","",IF(F261=0,IF(H261=0,0,1),ABS(H261)/F261))</f>
        <v/>
      </c>
      <c r="J261" s="18">
        <f>IF($A261="","",IF($E261="A",$E$1,IF($E261="B",$G$1,$I$1)))</f>
        <v/>
      </c>
      <c r="K261">
        <f>IF($A261="","",IF(H261=0,"MATCH",IF(I261&gt;J261,"RECOUNT","WITHIN TOLERANCE")))</f>
        <v/>
      </c>
      <c r="L261" s="5" t="n"/>
      <c r="M261">
        <f>IF(OR($A261="",$L261=""),"",L261-F261)</f>
        <v/>
      </c>
      <c r="N261" s="5" t="n"/>
      <c r="O261" s="5" t="n"/>
    </row>
    <row r="262">
      <c r="A262">
        <f>IF('Blind Count Entry'!A260="","",'Blind Count Entry'!A260)</f>
        <v/>
      </c>
      <c r="B262" s="16">
        <f>IF($A262="","",'Blind Count Entry'!B260)</f>
        <v/>
      </c>
      <c r="C262">
        <f>IF($A262="","",'Blind Count Entry'!C260)</f>
        <v/>
      </c>
      <c r="D262">
        <f>IF($A262="","",'Blind Count Entry'!D260)</f>
        <v/>
      </c>
      <c r="E262">
        <f>IF($A262="","",IFERROR(INDEX('ABC Analysis'!$F:$F,MATCH($C262,'ABC Analysis'!$A:$A,0)),""))</f>
        <v/>
      </c>
      <c r="F262">
        <f>IF($A262="","",IFERROR(INDEX('Master Inventory'!$E:$E,MATCH($C262,'Master Inventory'!$A:$A,0)),0))</f>
        <v/>
      </c>
      <c r="G262">
        <f>IF($A262="","",'Blind Count Entry'!F260)</f>
        <v/>
      </c>
      <c r="H262">
        <f>IF($A262="","",G262-F262)</f>
        <v/>
      </c>
      <c r="I262" s="17">
        <f>IF($A262="","",IF(F262=0,IF(H262=0,0,1),ABS(H262)/F262))</f>
        <v/>
      </c>
      <c r="J262" s="18">
        <f>IF($A262="","",IF($E262="A",$E$1,IF($E262="B",$G$1,$I$1)))</f>
        <v/>
      </c>
      <c r="K262">
        <f>IF($A262="","",IF(H262=0,"MATCH",IF(I262&gt;J262,"RECOUNT","WITHIN TOLERANCE")))</f>
        <v/>
      </c>
      <c r="L262" s="5" t="n"/>
      <c r="M262">
        <f>IF(OR($A262="",$L262=""),"",L262-F262)</f>
        <v/>
      </c>
      <c r="N262" s="5" t="n"/>
      <c r="O262" s="5" t="n"/>
    </row>
    <row r="263">
      <c r="A263">
        <f>IF('Blind Count Entry'!A261="","",'Blind Count Entry'!A261)</f>
        <v/>
      </c>
      <c r="B263" s="16">
        <f>IF($A263="","",'Blind Count Entry'!B261)</f>
        <v/>
      </c>
      <c r="C263">
        <f>IF($A263="","",'Blind Count Entry'!C261)</f>
        <v/>
      </c>
      <c r="D263">
        <f>IF($A263="","",'Blind Count Entry'!D261)</f>
        <v/>
      </c>
      <c r="E263">
        <f>IF($A263="","",IFERROR(INDEX('ABC Analysis'!$F:$F,MATCH($C263,'ABC Analysis'!$A:$A,0)),""))</f>
        <v/>
      </c>
      <c r="F263">
        <f>IF($A263="","",IFERROR(INDEX('Master Inventory'!$E:$E,MATCH($C263,'Master Inventory'!$A:$A,0)),0))</f>
        <v/>
      </c>
      <c r="G263">
        <f>IF($A263="","",'Blind Count Entry'!F261)</f>
        <v/>
      </c>
      <c r="H263">
        <f>IF($A263="","",G263-F263)</f>
        <v/>
      </c>
      <c r="I263" s="17">
        <f>IF($A263="","",IF(F263=0,IF(H263=0,0,1),ABS(H263)/F263))</f>
        <v/>
      </c>
      <c r="J263" s="18">
        <f>IF($A263="","",IF($E263="A",$E$1,IF($E263="B",$G$1,$I$1)))</f>
        <v/>
      </c>
      <c r="K263">
        <f>IF($A263="","",IF(H263=0,"MATCH",IF(I263&gt;J263,"RECOUNT","WITHIN TOLERANCE")))</f>
        <v/>
      </c>
      <c r="L263" s="5" t="n"/>
      <c r="M263">
        <f>IF(OR($A263="",$L263=""),"",L263-F263)</f>
        <v/>
      </c>
      <c r="N263" s="5" t="n"/>
      <c r="O263" s="5" t="n"/>
    </row>
    <row r="264">
      <c r="A264">
        <f>IF('Blind Count Entry'!A262="","",'Blind Count Entry'!A262)</f>
        <v/>
      </c>
      <c r="B264" s="16">
        <f>IF($A264="","",'Blind Count Entry'!B262)</f>
        <v/>
      </c>
      <c r="C264">
        <f>IF($A264="","",'Blind Count Entry'!C262)</f>
        <v/>
      </c>
      <c r="D264">
        <f>IF($A264="","",'Blind Count Entry'!D262)</f>
        <v/>
      </c>
      <c r="E264">
        <f>IF($A264="","",IFERROR(INDEX('ABC Analysis'!$F:$F,MATCH($C264,'ABC Analysis'!$A:$A,0)),""))</f>
        <v/>
      </c>
      <c r="F264">
        <f>IF($A264="","",IFERROR(INDEX('Master Inventory'!$E:$E,MATCH($C264,'Master Inventory'!$A:$A,0)),0))</f>
        <v/>
      </c>
      <c r="G264">
        <f>IF($A264="","",'Blind Count Entry'!F262)</f>
        <v/>
      </c>
      <c r="H264">
        <f>IF($A264="","",G264-F264)</f>
        <v/>
      </c>
      <c r="I264" s="17">
        <f>IF($A264="","",IF(F264=0,IF(H264=0,0,1),ABS(H264)/F264))</f>
        <v/>
      </c>
      <c r="J264" s="18">
        <f>IF($A264="","",IF($E264="A",$E$1,IF($E264="B",$G$1,$I$1)))</f>
        <v/>
      </c>
      <c r="K264">
        <f>IF($A264="","",IF(H264=0,"MATCH",IF(I264&gt;J264,"RECOUNT","WITHIN TOLERANCE")))</f>
        <v/>
      </c>
      <c r="L264" s="5" t="n"/>
      <c r="M264">
        <f>IF(OR($A264="",$L264=""),"",L264-F264)</f>
        <v/>
      </c>
      <c r="N264" s="5" t="n"/>
      <c r="O264" s="5" t="n"/>
    </row>
    <row r="265">
      <c r="A265">
        <f>IF('Blind Count Entry'!A263="","",'Blind Count Entry'!A263)</f>
        <v/>
      </c>
      <c r="B265" s="16">
        <f>IF($A265="","",'Blind Count Entry'!B263)</f>
        <v/>
      </c>
      <c r="C265">
        <f>IF($A265="","",'Blind Count Entry'!C263)</f>
        <v/>
      </c>
      <c r="D265">
        <f>IF($A265="","",'Blind Count Entry'!D263)</f>
        <v/>
      </c>
      <c r="E265">
        <f>IF($A265="","",IFERROR(INDEX('ABC Analysis'!$F:$F,MATCH($C265,'ABC Analysis'!$A:$A,0)),""))</f>
        <v/>
      </c>
      <c r="F265">
        <f>IF($A265="","",IFERROR(INDEX('Master Inventory'!$E:$E,MATCH($C265,'Master Inventory'!$A:$A,0)),0))</f>
        <v/>
      </c>
      <c r="G265">
        <f>IF($A265="","",'Blind Count Entry'!F263)</f>
        <v/>
      </c>
      <c r="H265">
        <f>IF($A265="","",G265-F265)</f>
        <v/>
      </c>
      <c r="I265" s="17">
        <f>IF($A265="","",IF(F265=0,IF(H265=0,0,1),ABS(H265)/F265))</f>
        <v/>
      </c>
      <c r="J265" s="18">
        <f>IF($A265="","",IF($E265="A",$E$1,IF($E265="B",$G$1,$I$1)))</f>
        <v/>
      </c>
      <c r="K265">
        <f>IF($A265="","",IF(H265=0,"MATCH",IF(I265&gt;J265,"RECOUNT","WITHIN TOLERANCE")))</f>
        <v/>
      </c>
      <c r="L265" s="5" t="n"/>
      <c r="M265">
        <f>IF(OR($A265="",$L265=""),"",L265-F265)</f>
        <v/>
      </c>
      <c r="N265" s="5" t="n"/>
      <c r="O265" s="5" t="n"/>
    </row>
    <row r="266">
      <c r="A266">
        <f>IF('Blind Count Entry'!A264="","",'Blind Count Entry'!A264)</f>
        <v/>
      </c>
      <c r="B266" s="16">
        <f>IF($A266="","",'Blind Count Entry'!B264)</f>
        <v/>
      </c>
      <c r="C266">
        <f>IF($A266="","",'Blind Count Entry'!C264)</f>
        <v/>
      </c>
      <c r="D266">
        <f>IF($A266="","",'Blind Count Entry'!D264)</f>
        <v/>
      </c>
      <c r="E266">
        <f>IF($A266="","",IFERROR(INDEX('ABC Analysis'!$F:$F,MATCH($C266,'ABC Analysis'!$A:$A,0)),""))</f>
        <v/>
      </c>
      <c r="F266">
        <f>IF($A266="","",IFERROR(INDEX('Master Inventory'!$E:$E,MATCH($C266,'Master Inventory'!$A:$A,0)),0))</f>
        <v/>
      </c>
      <c r="G266">
        <f>IF($A266="","",'Blind Count Entry'!F264)</f>
        <v/>
      </c>
      <c r="H266">
        <f>IF($A266="","",G266-F266)</f>
        <v/>
      </c>
      <c r="I266" s="17">
        <f>IF($A266="","",IF(F266=0,IF(H266=0,0,1),ABS(H266)/F266))</f>
        <v/>
      </c>
      <c r="J266" s="18">
        <f>IF($A266="","",IF($E266="A",$E$1,IF($E266="B",$G$1,$I$1)))</f>
        <v/>
      </c>
      <c r="K266">
        <f>IF($A266="","",IF(H266=0,"MATCH",IF(I266&gt;J266,"RECOUNT","WITHIN TOLERANCE")))</f>
        <v/>
      </c>
      <c r="L266" s="5" t="n"/>
      <c r="M266">
        <f>IF(OR($A266="",$L266=""),"",L266-F266)</f>
        <v/>
      </c>
      <c r="N266" s="5" t="n"/>
      <c r="O266" s="5" t="n"/>
    </row>
    <row r="267">
      <c r="A267">
        <f>IF('Blind Count Entry'!A265="","",'Blind Count Entry'!A265)</f>
        <v/>
      </c>
      <c r="B267" s="16">
        <f>IF($A267="","",'Blind Count Entry'!B265)</f>
        <v/>
      </c>
      <c r="C267">
        <f>IF($A267="","",'Blind Count Entry'!C265)</f>
        <v/>
      </c>
      <c r="D267">
        <f>IF($A267="","",'Blind Count Entry'!D265)</f>
        <v/>
      </c>
      <c r="E267">
        <f>IF($A267="","",IFERROR(INDEX('ABC Analysis'!$F:$F,MATCH($C267,'ABC Analysis'!$A:$A,0)),""))</f>
        <v/>
      </c>
      <c r="F267">
        <f>IF($A267="","",IFERROR(INDEX('Master Inventory'!$E:$E,MATCH($C267,'Master Inventory'!$A:$A,0)),0))</f>
        <v/>
      </c>
      <c r="G267">
        <f>IF($A267="","",'Blind Count Entry'!F265)</f>
        <v/>
      </c>
      <c r="H267">
        <f>IF($A267="","",G267-F267)</f>
        <v/>
      </c>
      <c r="I267" s="17">
        <f>IF($A267="","",IF(F267=0,IF(H267=0,0,1),ABS(H267)/F267))</f>
        <v/>
      </c>
      <c r="J267" s="18">
        <f>IF($A267="","",IF($E267="A",$E$1,IF($E267="B",$G$1,$I$1)))</f>
        <v/>
      </c>
      <c r="K267">
        <f>IF($A267="","",IF(H267=0,"MATCH",IF(I267&gt;J267,"RECOUNT","WITHIN TOLERANCE")))</f>
        <v/>
      </c>
      <c r="L267" s="5" t="n"/>
      <c r="M267">
        <f>IF(OR($A267="",$L267=""),"",L267-F267)</f>
        <v/>
      </c>
      <c r="N267" s="5" t="n"/>
      <c r="O267" s="5" t="n"/>
    </row>
    <row r="268">
      <c r="A268">
        <f>IF('Blind Count Entry'!A266="","",'Blind Count Entry'!A266)</f>
        <v/>
      </c>
      <c r="B268" s="16">
        <f>IF($A268="","",'Blind Count Entry'!B266)</f>
        <v/>
      </c>
      <c r="C268">
        <f>IF($A268="","",'Blind Count Entry'!C266)</f>
        <v/>
      </c>
      <c r="D268">
        <f>IF($A268="","",'Blind Count Entry'!D266)</f>
        <v/>
      </c>
      <c r="E268">
        <f>IF($A268="","",IFERROR(INDEX('ABC Analysis'!$F:$F,MATCH($C268,'ABC Analysis'!$A:$A,0)),""))</f>
        <v/>
      </c>
      <c r="F268">
        <f>IF($A268="","",IFERROR(INDEX('Master Inventory'!$E:$E,MATCH($C268,'Master Inventory'!$A:$A,0)),0))</f>
        <v/>
      </c>
      <c r="G268">
        <f>IF($A268="","",'Blind Count Entry'!F266)</f>
        <v/>
      </c>
      <c r="H268">
        <f>IF($A268="","",G268-F268)</f>
        <v/>
      </c>
      <c r="I268" s="17">
        <f>IF($A268="","",IF(F268=0,IF(H268=0,0,1),ABS(H268)/F268))</f>
        <v/>
      </c>
      <c r="J268" s="18">
        <f>IF($A268="","",IF($E268="A",$E$1,IF($E268="B",$G$1,$I$1)))</f>
        <v/>
      </c>
      <c r="K268">
        <f>IF($A268="","",IF(H268=0,"MATCH",IF(I268&gt;J268,"RECOUNT","WITHIN TOLERANCE")))</f>
        <v/>
      </c>
      <c r="L268" s="5" t="n"/>
      <c r="M268">
        <f>IF(OR($A268="",$L268=""),"",L268-F268)</f>
        <v/>
      </c>
      <c r="N268" s="5" t="n"/>
      <c r="O268" s="5" t="n"/>
    </row>
    <row r="269">
      <c r="A269">
        <f>IF('Blind Count Entry'!A267="","",'Blind Count Entry'!A267)</f>
        <v/>
      </c>
      <c r="B269" s="16">
        <f>IF($A269="","",'Blind Count Entry'!B267)</f>
        <v/>
      </c>
      <c r="C269">
        <f>IF($A269="","",'Blind Count Entry'!C267)</f>
        <v/>
      </c>
      <c r="D269">
        <f>IF($A269="","",'Blind Count Entry'!D267)</f>
        <v/>
      </c>
      <c r="E269">
        <f>IF($A269="","",IFERROR(INDEX('ABC Analysis'!$F:$F,MATCH($C269,'ABC Analysis'!$A:$A,0)),""))</f>
        <v/>
      </c>
      <c r="F269">
        <f>IF($A269="","",IFERROR(INDEX('Master Inventory'!$E:$E,MATCH($C269,'Master Inventory'!$A:$A,0)),0))</f>
        <v/>
      </c>
      <c r="G269">
        <f>IF($A269="","",'Blind Count Entry'!F267)</f>
        <v/>
      </c>
      <c r="H269">
        <f>IF($A269="","",G269-F269)</f>
        <v/>
      </c>
      <c r="I269" s="17">
        <f>IF($A269="","",IF(F269=0,IF(H269=0,0,1),ABS(H269)/F269))</f>
        <v/>
      </c>
      <c r="J269" s="18">
        <f>IF($A269="","",IF($E269="A",$E$1,IF($E269="B",$G$1,$I$1)))</f>
        <v/>
      </c>
      <c r="K269">
        <f>IF($A269="","",IF(H269=0,"MATCH",IF(I269&gt;J269,"RECOUNT","WITHIN TOLERANCE")))</f>
        <v/>
      </c>
      <c r="L269" s="5" t="n"/>
      <c r="M269">
        <f>IF(OR($A269="",$L269=""),"",L269-F269)</f>
        <v/>
      </c>
      <c r="N269" s="5" t="n"/>
      <c r="O269" s="5" t="n"/>
    </row>
    <row r="270">
      <c r="A270">
        <f>IF('Blind Count Entry'!A268="","",'Blind Count Entry'!A268)</f>
        <v/>
      </c>
      <c r="B270" s="16">
        <f>IF($A270="","",'Blind Count Entry'!B268)</f>
        <v/>
      </c>
      <c r="C270">
        <f>IF($A270="","",'Blind Count Entry'!C268)</f>
        <v/>
      </c>
      <c r="D270">
        <f>IF($A270="","",'Blind Count Entry'!D268)</f>
        <v/>
      </c>
      <c r="E270">
        <f>IF($A270="","",IFERROR(INDEX('ABC Analysis'!$F:$F,MATCH($C270,'ABC Analysis'!$A:$A,0)),""))</f>
        <v/>
      </c>
      <c r="F270">
        <f>IF($A270="","",IFERROR(INDEX('Master Inventory'!$E:$E,MATCH($C270,'Master Inventory'!$A:$A,0)),0))</f>
        <v/>
      </c>
      <c r="G270">
        <f>IF($A270="","",'Blind Count Entry'!F268)</f>
        <v/>
      </c>
      <c r="H270">
        <f>IF($A270="","",G270-F270)</f>
        <v/>
      </c>
      <c r="I270" s="17">
        <f>IF($A270="","",IF(F270=0,IF(H270=0,0,1),ABS(H270)/F270))</f>
        <v/>
      </c>
      <c r="J270" s="18">
        <f>IF($A270="","",IF($E270="A",$E$1,IF($E270="B",$G$1,$I$1)))</f>
        <v/>
      </c>
      <c r="K270">
        <f>IF($A270="","",IF(H270=0,"MATCH",IF(I270&gt;J270,"RECOUNT","WITHIN TOLERANCE")))</f>
        <v/>
      </c>
      <c r="L270" s="5" t="n"/>
      <c r="M270">
        <f>IF(OR($A270="",$L270=""),"",L270-F270)</f>
        <v/>
      </c>
      <c r="N270" s="5" t="n"/>
      <c r="O270" s="5" t="n"/>
    </row>
    <row r="271">
      <c r="A271">
        <f>IF('Blind Count Entry'!A269="","",'Blind Count Entry'!A269)</f>
        <v/>
      </c>
      <c r="B271" s="16">
        <f>IF($A271="","",'Blind Count Entry'!B269)</f>
        <v/>
      </c>
      <c r="C271">
        <f>IF($A271="","",'Blind Count Entry'!C269)</f>
        <v/>
      </c>
      <c r="D271">
        <f>IF($A271="","",'Blind Count Entry'!D269)</f>
        <v/>
      </c>
      <c r="E271">
        <f>IF($A271="","",IFERROR(INDEX('ABC Analysis'!$F:$F,MATCH($C271,'ABC Analysis'!$A:$A,0)),""))</f>
        <v/>
      </c>
      <c r="F271">
        <f>IF($A271="","",IFERROR(INDEX('Master Inventory'!$E:$E,MATCH($C271,'Master Inventory'!$A:$A,0)),0))</f>
        <v/>
      </c>
      <c r="G271">
        <f>IF($A271="","",'Blind Count Entry'!F269)</f>
        <v/>
      </c>
      <c r="H271">
        <f>IF($A271="","",G271-F271)</f>
        <v/>
      </c>
      <c r="I271" s="17">
        <f>IF($A271="","",IF(F271=0,IF(H271=0,0,1),ABS(H271)/F271))</f>
        <v/>
      </c>
      <c r="J271" s="18">
        <f>IF($A271="","",IF($E271="A",$E$1,IF($E271="B",$G$1,$I$1)))</f>
        <v/>
      </c>
      <c r="K271">
        <f>IF($A271="","",IF(H271=0,"MATCH",IF(I271&gt;J271,"RECOUNT","WITHIN TOLERANCE")))</f>
        <v/>
      </c>
      <c r="L271" s="5" t="n"/>
      <c r="M271">
        <f>IF(OR($A271="",$L271=""),"",L271-F271)</f>
        <v/>
      </c>
      <c r="N271" s="5" t="n"/>
      <c r="O271" s="5" t="n"/>
    </row>
    <row r="272">
      <c r="A272">
        <f>IF('Blind Count Entry'!A270="","",'Blind Count Entry'!A270)</f>
        <v/>
      </c>
      <c r="B272" s="16">
        <f>IF($A272="","",'Blind Count Entry'!B270)</f>
        <v/>
      </c>
      <c r="C272">
        <f>IF($A272="","",'Blind Count Entry'!C270)</f>
        <v/>
      </c>
      <c r="D272">
        <f>IF($A272="","",'Blind Count Entry'!D270)</f>
        <v/>
      </c>
      <c r="E272">
        <f>IF($A272="","",IFERROR(INDEX('ABC Analysis'!$F:$F,MATCH($C272,'ABC Analysis'!$A:$A,0)),""))</f>
        <v/>
      </c>
      <c r="F272">
        <f>IF($A272="","",IFERROR(INDEX('Master Inventory'!$E:$E,MATCH($C272,'Master Inventory'!$A:$A,0)),0))</f>
        <v/>
      </c>
      <c r="G272">
        <f>IF($A272="","",'Blind Count Entry'!F270)</f>
        <v/>
      </c>
      <c r="H272">
        <f>IF($A272="","",G272-F272)</f>
        <v/>
      </c>
      <c r="I272" s="17">
        <f>IF($A272="","",IF(F272=0,IF(H272=0,0,1),ABS(H272)/F272))</f>
        <v/>
      </c>
      <c r="J272" s="18">
        <f>IF($A272="","",IF($E272="A",$E$1,IF($E272="B",$G$1,$I$1)))</f>
        <v/>
      </c>
      <c r="K272">
        <f>IF($A272="","",IF(H272=0,"MATCH",IF(I272&gt;J272,"RECOUNT","WITHIN TOLERANCE")))</f>
        <v/>
      </c>
      <c r="L272" s="5" t="n"/>
      <c r="M272">
        <f>IF(OR($A272="",$L272=""),"",L272-F272)</f>
        <v/>
      </c>
      <c r="N272" s="5" t="n"/>
      <c r="O272" s="5" t="n"/>
    </row>
    <row r="273">
      <c r="A273">
        <f>IF('Blind Count Entry'!A271="","",'Blind Count Entry'!A271)</f>
        <v/>
      </c>
      <c r="B273" s="16">
        <f>IF($A273="","",'Blind Count Entry'!B271)</f>
        <v/>
      </c>
      <c r="C273">
        <f>IF($A273="","",'Blind Count Entry'!C271)</f>
        <v/>
      </c>
      <c r="D273">
        <f>IF($A273="","",'Blind Count Entry'!D271)</f>
        <v/>
      </c>
      <c r="E273">
        <f>IF($A273="","",IFERROR(INDEX('ABC Analysis'!$F:$F,MATCH($C273,'ABC Analysis'!$A:$A,0)),""))</f>
        <v/>
      </c>
      <c r="F273">
        <f>IF($A273="","",IFERROR(INDEX('Master Inventory'!$E:$E,MATCH($C273,'Master Inventory'!$A:$A,0)),0))</f>
        <v/>
      </c>
      <c r="G273">
        <f>IF($A273="","",'Blind Count Entry'!F271)</f>
        <v/>
      </c>
      <c r="H273">
        <f>IF($A273="","",G273-F273)</f>
        <v/>
      </c>
      <c r="I273" s="17">
        <f>IF($A273="","",IF(F273=0,IF(H273=0,0,1),ABS(H273)/F273))</f>
        <v/>
      </c>
      <c r="J273" s="18">
        <f>IF($A273="","",IF($E273="A",$E$1,IF($E273="B",$G$1,$I$1)))</f>
        <v/>
      </c>
      <c r="K273">
        <f>IF($A273="","",IF(H273=0,"MATCH",IF(I273&gt;J273,"RECOUNT","WITHIN TOLERANCE")))</f>
        <v/>
      </c>
      <c r="L273" s="5" t="n"/>
      <c r="M273">
        <f>IF(OR($A273="",$L273=""),"",L273-F273)</f>
        <v/>
      </c>
      <c r="N273" s="5" t="n"/>
      <c r="O273" s="5" t="n"/>
    </row>
    <row r="274">
      <c r="A274">
        <f>IF('Blind Count Entry'!A272="","",'Blind Count Entry'!A272)</f>
        <v/>
      </c>
      <c r="B274" s="16">
        <f>IF($A274="","",'Blind Count Entry'!B272)</f>
        <v/>
      </c>
      <c r="C274">
        <f>IF($A274="","",'Blind Count Entry'!C272)</f>
        <v/>
      </c>
      <c r="D274">
        <f>IF($A274="","",'Blind Count Entry'!D272)</f>
        <v/>
      </c>
      <c r="E274">
        <f>IF($A274="","",IFERROR(INDEX('ABC Analysis'!$F:$F,MATCH($C274,'ABC Analysis'!$A:$A,0)),""))</f>
        <v/>
      </c>
      <c r="F274">
        <f>IF($A274="","",IFERROR(INDEX('Master Inventory'!$E:$E,MATCH($C274,'Master Inventory'!$A:$A,0)),0))</f>
        <v/>
      </c>
      <c r="G274">
        <f>IF($A274="","",'Blind Count Entry'!F272)</f>
        <v/>
      </c>
      <c r="H274">
        <f>IF($A274="","",G274-F274)</f>
        <v/>
      </c>
      <c r="I274" s="17">
        <f>IF($A274="","",IF(F274=0,IF(H274=0,0,1),ABS(H274)/F274))</f>
        <v/>
      </c>
      <c r="J274" s="18">
        <f>IF($A274="","",IF($E274="A",$E$1,IF($E274="B",$G$1,$I$1)))</f>
        <v/>
      </c>
      <c r="K274">
        <f>IF($A274="","",IF(H274=0,"MATCH",IF(I274&gt;J274,"RECOUNT","WITHIN TOLERANCE")))</f>
        <v/>
      </c>
      <c r="L274" s="5" t="n"/>
      <c r="M274">
        <f>IF(OR($A274="",$L274=""),"",L274-F274)</f>
        <v/>
      </c>
      <c r="N274" s="5" t="n"/>
      <c r="O274" s="5" t="n"/>
    </row>
    <row r="275">
      <c r="A275">
        <f>IF('Blind Count Entry'!A273="","",'Blind Count Entry'!A273)</f>
        <v/>
      </c>
      <c r="B275" s="16">
        <f>IF($A275="","",'Blind Count Entry'!B273)</f>
        <v/>
      </c>
      <c r="C275">
        <f>IF($A275="","",'Blind Count Entry'!C273)</f>
        <v/>
      </c>
      <c r="D275">
        <f>IF($A275="","",'Blind Count Entry'!D273)</f>
        <v/>
      </c>
      <c r="E275">
        <f>IF($A275="","",IFERROR(INDEX('ABC Analysis'!$F:$F,MATCH($C275,'ABC Analysis'!$A:$A,0)),""))</f>
        <v/>
      </c>
      <c r="F275">
        <f>IF($A275="","",IFERROR(INDEX('Master Inventory'!$E:$E,MATCH($C275,'Master Inventory'!$A:$A,0)),0))</f>
        <v/>
      </c>
      <c r="G275">
        <f>IF($A275="","",'Blind Count Entry'!F273)</f>
        <v/>
      </c>
      <c r="H275">
        <f>IF($A275="","",G275-F275)</f>
        <v/>
      </c>
      <c r="I275" s="17">
        <f>IF($A275="","",IF(F275=0,IF(H275=0,0,1),ABS(H275)/F275))</f>
        <v/>
      </c>
      <c r="J275" s="18">
        <f>IF($A275="","",IF($E275="A",$E$1,IF($E275="B",$G$1,$I$1)))</f>
        <v/>
      </c>
      <c r="K275">
        <f>IF($A275="","",IF(H275=0,"MATCH",IF(I275&gt;J275,"RECOUNT","WITHIN TOLERANCE")))</f>
        <v/>
      </c>
      <c r="L275" s="5" t="n"/>
      <c r="M275">
        <f>IF(OR($A275="",$L275=""),"",L275-F275)</f>
        <v/>
      </c>
      <c r="N275" s="5" t="n"/>
      <c r="O275" s="5" t="n"/>
    </row>
    <row r="276">
      <c r="A276">
        <f>IF('Blind Count Entry'!A274="","",'Blind Count Entry'!A274)</f>
        <v/>
      </c>
      <c r="B276" s="16">
        <f>IF($A276="","",'Blind Count Entry'!B274)</f>
        <v/>
      </c>
      <c r="C276">
        <f>IF($A276="","",'Blind Count Entry'!C274)</f>
        <v/>
      </c>
      <c r="D276">
        <f>IF($A276="","",'Blind Count Entry'!D274)</f>
        <v/>
      </c>
      <c r="E276">
        <f>IF($A276="","",IFERROR(INDEX('ABC Analysis'!$F:$F,MATCH($C276,'ABC Analysis'!$A:$A,0)),""))</f>
        <v/>
      </c>
      <c r="F276">
        <f>IF($A276="","",IFERROR(INDEX('Master Inventory'!$E:$E,MATCH($C276,'Master Inventory'!$A:$A,0)),0))</f>
        <v/>
      </c>
      <c r="G276">
        <f>IF($A276="","",'Blind Count Entry'!F274)</f>
        <v/>
      </c>
      <c r="H276">
        <f>IF($A276="","",G276-F276)</f>
        <v/>
      </c>
      <c r="I276" s="17">
        <f>IF($A276="","",IF(F276=0,IF(H276=0,0,1),ABS(H276)/F276))</f>
        <v/>
      </c>
      <c r="J276" s="18">
        <f>IF($A276="","",IF($E276="A",$E$1,IF($E276="B",$G$1,$I$1)))</f>
        <v/>
      </c>
      <c r="K276">
        <f>IF($A276="","",IF(H276=0,"MATCH",IF(I276&gt;J276,"RECOUNT","WITHIN TOLERANCE")))</f>
        <v/>
      </c>
      <c r="L276" s="5" t="n"/>
      <c r="M276">
        <f>IF(OR($A276="",$L276=""),"",L276-F276)</f>
        <v/>
      </c>
      <c r="N276" s="5" t="n"/>
      <c r="O276" s="5" t="n"/>
    </row>
    <row r="277">
      <c r="A277">
        <f>IF('Blind Count Entry'!A275="","",'Blind Count Entry'!A275)</f>
        <v/>
      </c>
      <c r="B277" s="16">
        <f>IF($A277="","",'Blind Count Entry'!B275)</f>
        <v/>
      </c>
      <c r="C277">
        <f>IF($A277="","",'Blind Count Entry'!C275)</f>
        <v/>
      </c>
      <c r="D277">
        <f>IF($A277="","",'Blind Count Entry'!D275)</f>
        <v/>
      </c>
      <c r="E277">
        <f>IF($A277="","",IFERROR(INDEX('ABC Analysis'!$F:$F,MATCH($C277,'ABC Analysis'!$A:$A,0)),""))</f>
        <v/>
      </c>
      <c r="F277">
        <f>IF($A277="","",IFERROR(INDEX('Master Inventory'!$E:$E,MATCH($C277,'Master Inventory'!$A:$A,0)),0))</f>
        <v/>
      </c>
      <c r="G277">
        <f>IF($A277="","",'Blind Count Entry'!F275)</f>
        <v/>
      </c>
      <c r="H277">
        <f>IF($A277="","",G277-F277)</f>
        <v/>
      </c>
      <c r="I277" s="17">
        <f>IF($A277="","",IF(F277=0,IF(H277=0,0,1),ABS(H277)/F277))</f>
        <v/>
      </c>
      <c r="J277" s="18">
        <f>IF($A277="","",IF($E277="A",$E$1,IF($E277="B",$G$1,$I$1)))</f>
        <v/>
      </c>
      <c r="K277">
        <f>IF($A277="","",IF(H277=0,"MATCH",IF(I277&gt;J277,"RECOUNT","WITHIN TOLERANCE")))</f>
        <v/>
      </c>
      <c r="L277" s="5" t="n"/>
      <c r="M277">
        <f>IF(OR($A277="",$L277=""),"",L277-F277)</f>
        <v/>
      </c>
      <c r="N277" s="5" t="n"/>
      <c r="O277" s="5" t="n"/>
    </row>
    <row r="278">
      <c r="A278">
        <f>IF('Blind Count Entry'!A276="","",'Blind Count Entry'!A276)</f>
        <v/>
      </c>
      <c r="B278" s="16">
        <f>IF($A278="","",'Blind Count Entry'!B276)</f>
        <v/>
      </c>
      <c r="C278">
        <f>IF($A278="","",'Blind Count Entry'!C276)</f>
        <v/>
      </c>
      <c r="D278">
        <f>IF($A278="","",'Blind Count Entry'!D276)</f>
        <v/>
      </c>
      <c r="E278">
        <f>IF($A278="","",IFERROR(INDEX('ABC Analysis'!$F:$F,MATCH($C278,'ABC Analysis'!$A:$A,0)),""))</f>
        <v/>
      </c>
      <c r="F278">
        <f>IF($A278="","",IFERROR(INDEX('Master Inventory'!$E:$E,MATCH($C278,'Master Inventory'!$A:$A,0)),0))</f>
        <v/>
      </c>
      <c r="G278">
        <f>IF($A278="","",'Blind Count Entry'!F276)</f>
        <v/>
      </c>
      <c r="H278">
        <f>IF($A278="","",G278-F278)</f>
        <v/>
      </c>
      <c r="I278" s="17">
        <f>IF($A278="","",IF(F278=0,IF(H278=0,0,1),ABS(H278)/F278))</f>
        <v/>
      </c>
      <c r="J278" s="18">
        <f>IF($A278="","",IF($E278="A",$E$1,IF($E278="B",$G$1,$I$1)))</f>
        <v/>
      </c>
      <c r="K278">
        <f>IF($A278="","",IF(H278=0,"MATCH",IF(I278&gt;J278,"RECOUNT","WITHIN TOLERANCE")))</f>
        <v/>
      </c>
      <c r="L278" s="5" t="n"/>
      <c r="M278">
        <f>IF(OR($A278="",$L278=""),"",L278-F278)</f>
        <v/>
      </c>
      <c r="N278" s="5" t="n"/>
      <c r="O278" s="5" t="n"/>
    </row>
    <row r="279">
      <c r="A279">
        <f>IF('Blind Count Entry'!A277="","",'Blind Count Entry'!A277)</f>
        <v/>
      </c>
      <c r="B279" s="16">
        <f>IF($A279="","",'Blind Count Entry'!B277)</f>
        <v/>
      </c>
      <c r="C279">
        <f>IF($A279="","",'Blind Count Entry'!C277)</f>
        <v/>
      </c>
      <c r="D279">
        <f>IF($A279="","",'Blind Count Entry'!D277)</f>
        <v/>
      </c>
      <c r="E279">
        <f>IF($A279="","",IFERROR(INDEX('ABC Analysis'!$F:$F,MATCH($C279,'ABC Analysis'!$A:$A,0)),""))</f>
        <v/>
      </c>
      <c r="F279">
        <f>IF($A279="","",IFERROR(INDEX('Master Inventory'!$E:$E,MATCH($C279,'Master Inventory'!$A:$A,0)),0))</f>
        <v/>
      </c>
      <c r="G279">
        <f>IF($A279="","",'Blind Count Entry'!F277)</f>
        <v/>
      </c>
      <c r="H279">
        <f>IF($A279="","",G279-F279)</f>
        <v/>
      </c>
      <c r="I279" s="17">
        <f>IF($A279="","",IF(F279=0,IF(H279=0,0,1),ABS(H279)/F279))</f>
        <v/>
      </c>
      <c r="J279" s="18">
        <f>IF($A279="","",IF($E279="A",$E$1,IF($E279="B",$G$1,$I$1)))</f>
        <v/>
      </c>
      <c r="K279">
        <f>IF($A279="","",IF(H279=0,"MATCH",IF(I279&gt;J279,"RECOUNT","WITHIN TOLERANCE")))</f>
        <v/>
      </c>
      <c r="L279" s="5" t="n"/>
      <c r="M279">
        <f>IF(OR($A279="",$L279=""),"",L279-F279)</f>
        <v/>
      </c>
      <c r="N279" s="5" t="n"/>
      <c r="O279" s="5" t="n"/>
    </row>
    <row r="280">
      <c r="A280">
        <f>IF('Blind Count Entry'!A278="","",'Blind Count Entry'!A278)</f>
        <v/>
      </c>
      <c r="B280" s="16">
        <f>IF($A280="","",'Blind Count Entry'!B278)</f>
        <v/>
      </c>
      <c r="C280">
        <f>IF($A280="","",'Blind Count Entry'!C278)</f>
        <v/>
      </c>
      <c r="D280">
        <f>IF($A280="","",'Blind Count Entry'!D278)</f>
        <v/>
      </c>
      <c r="E280">
        <f>IF($A280="","",IFERROR(INDEX('ABC Analysis'!$F:$F,MATCH($C280,'ABC Analysis'!$A:$A,0)),""))</f>
        <v/>
      </c>
      <c r="F280">
        <f>IF($A280="","",IFERROR(INDEX('Master Inventory'!$E:$E,MATCH($C280,'Master Inventory'!$A:$A,0)),0))</f>
        <v/>
      </c>
      <c r="G280">
        <f>IF($A280="","",'Blind Count Entry'!F278)</f>
        <v/>
      </c>
      <c r="H280">
        <f>IF($A280="","",G280-F280)</f>
        <v/>
      </c>
      <c r="I280" s="17">
        <f>IF($A280="","",IF(F280=0,IF(H280=0,0,1),ABS(H280)/F280))</f>
        <v/>
      </c>
      <c r="J280" s="18">
        <f>IF($A280="","",IF($E280="A",$E$1,IF($E280="B",$G$1,$I$1)))</f>
        <v/>
      </c>
      <c r="K280">
        <f>IF($A280="","",IF(H280=0,"MATCH",IF(I280&gt;J280,"RECOUNT","WITHIN TOLERANCE")))</f>
        <v/>
      </c>
      <c r="L280" s="5" t="n"/>
      <c r="M280">
        <f>IF(OR($A280="",$L280=""),"",L280-F280)</f>
        <v/>
      </c>
      <c r="N280" s="5" t="n"/>
      <c r="O280" s="5" t="n"/>
    </row>
    <row r="281">
      <c r="A281">
        <f>IF('Blind Count Entry'!A279="","",'Blind Count Entry'!A279)</f>
        <v/>
      </c>
      <c r="B281" s="16">
        <f>IF($A281="","",'Blind Count Entry'!B279)</f>
        <v/>
      </c>
      <c r="C281">
        <f>IF($A281="","",'Blind Count Entry'!C279)</f>
        <v/>
      </c>
      <c r="D281">
        <f>IF($A281="","",'Blind Count Entry'!D279)</f>
        <v/>
      </c>
      <c r="E281">
        <f>IF($A281="","",IFERROR(INDEX('ABC Analysis'!$F:$F,MATCH($C281,'ABC Analysis'!$A:$A,0)),""))</f>
        <v/>
      </c>
      <c r="F281">
        <f>IF($A281="","",IFERROR(INDEX('Master Inventory'!$E:$E,MATCH($C281,'Master Inventory'!$A:$A,0)),0))</f>
        <v/>
      </c>
      <c r="G281">
        <f>IF($A281="","",'Blind Count Entry'!F279)</f>
        <v/>
      </c>
      <c r="H281">
        <f>IF($A281="","",G281-F281)</f>
        <v/>
      </c>
      <c r="I281" s="17">
        <f>IF($A281="","",IF(F281=0,IF(H281=0,0,1),ABS(H281)/F281))</f>
        <v/>
      </c>
      <c r="J281" s="18">
        <f>IF($A281="","",IF($E281="A",$E$1,IF($E281="B",$G$1,$I$1)))</f>
        <v/>
      </c>
      <c r="K281">
        <f>IF($A281="","",IF(H281=0,"MATCH",IF(I281&gt;J281,"RECOUNT","WITHIN TOLERANCE")))</f>
        <v/>
      </c>
      <c r="L281" s="5" t="n"/>
      <c r="M281">
        <f>IF(OR($A281="",$L281=""),"",L281-F281)</f>
        <v/>
      </c>
      <c r="N281" s="5" t="n"/>
      <c r="O281" s="5" t="n"/>
    </row>
    <row r="282">
      <c r="A282">
        <f>IF('Blind Count Entry'!A280="","",'Blind Count Entry'!A280)</f>
        <v/>
      </c>
      <c r="B282" s="16">
        <f>IF($A282="","",'Blind Count Entry'!B280)</f>
        <v/>
      </c>
      <c r="C282">
        <f>IF($A282="","",'Blind Count Entry'!C280)</f>
        <v/>
      </c>
      <c r="D282">
        <f>IF($A282="","",'Blind Count Entry'!D280)</f>
        <v/>
      </c>
      <c r="E282">
        <f>IF($A282="","",IFERROR(INDEX('ABC Analysis'!$F:$F,MATCH($C282,'ABC Analysis'!$A:$A,0)),""))</f>
        <v/>
      </c>
      <c r="F282">
        <f>IF($A282="","",IFERROR(INDEX('Master Inventory'!$E:$E,MATCH($C282,'Master Inventory'!$A:$A,0)),0))</f>
        <v/>
      </c>
      <c r="G282">
        <f>IF($A282="","",'Blind Count Entry'!F280)</f>
        <v/>
      </c>
      <c r="H282">
        <f>IF($A282="","",G282-F282)</f>
        <v/>
      </c>
      <c r="I282" s="17">
        <f>IF($A282="","",IF(F282=0,IF(H282=0,0,1),ABS(H282)/F282))</f>
        <v/>
      </c>
      <c r="J282" s="18">
        <f>IF($A282="","",IF($E282="A",$E$1,IF($E282="B",$G$1,$I$1)))</f>
        <v/>
      </c>
      <c r="K282">
        <f>IF($A282="","",IF(H282=0,"MATCH",IF(I282&gt;J282,"RECOUNT","WITHIN TOLERANCE")))</f>
        <v/>
      </c>
      <c r="L282" s="5" t="n"/>
      <c r="M282">
        <f>IF(OR($A282="",$L282=""),"",L282-F282)</f>
        <v/>
      </c>
      <c r="N282" s="5" t="n"/>
      <c r="O282" s="5" t="n"/>
    </row>
    <row r="283">
      <c r="A283">
        <f>IF('Blind Count Entry'!A281="","",'Blind Count Entry'!A281)</f>
        <v/>
      </c>
      <c r="B283" s="16">
        <f>IF($A283="","",'Blind Count Entry'!B281)</f>
        <v/>
      </c>
      <c r="C283">
        <f>IF($A283="","",'Blind Count Entry'!C281)</f>
        <v/>
      </c>
      <c r="D283">
        <f>IF($A283="","",'Blind Count Entry'!D281)</f>
        <v/>
      </c>
      <c r="E283">
        <f>IF($A283="","",IFERROR(INDEX('ABC Analysis'!$F:$F,MATCH($C283,'ABC Analysis'!$A:$A,0)),""))</f>
        <v/>
      </c>
      <c r="F283">
        <f>IF($A283="","",IFERROR(INDEX('Master Inventory'!$E:$E,MATCH($C283,'Master Inventory'!$A:$A,0)),0))</f>
        <v/>
      </c>
      <c r="G283">
        <f>IF($A283="","",'Blind Count Entry'!F281)</f>
        <v/>
      </c>
      <c r="H283">
        <f>IF($A283="","",G283-F283)</f>
        <v/>
      </c>
      <c r="I283" s="17">
        <f>IF($A283="","",IF(F283=0,IF(H283=0,0,1),ABS(H283)/F283))</f>
        <v/>
      </c>
      <c r="J283" s="18">
        <f>IF($A283="","",IF($E283="A",$E$1,IF($E283="B",$G$1,$I$1)))</f>
        <v/>
      </c>
      <c r="K283">
        <f>IF($A283="","",IF(H283=0,"MATCH",IF(I283&gt;J283,"RECOUNT","WITHIN TOLERANCE")))</f>
        <v/>
      </c>
      <c r="L283" s="5" t="n"/>
      <c r="M283">
        <f>IF(OR($A283="",$L283=""),"",L283-F283)</f>
        <v/>
      </c>
      <c r="N283" s="5" t="n"/>
      <c r="O283" s="5" t="n"/>
    </row>
    <row r="284">
      <c r="A284">
        <f>IF('Blind Count Entry'!A282="","",'Blind Count Entry'!A282)</f>
        <v/>
      </c>
      <c r="B284" s="16">
        <f>IF($A284="","",'Blind Count Entry'!B282)</f>
        <v/>
      </c>
      <c r="C284">
        <f>IF($A284="","",'Blind Count Entry'!C282)</f>
        <v/>
      </c>
      <c r="D284">
        <f>IF($A284="","",'Blind Count Entry'!D282)</f>
        <v/>
      </c>
      <c r="E284">
        <f>IF($A284="","",IFERROR(INDEX('ABC Analysis'!$F:$F,MATCH($C284,'ABC Analysis'!$A:$A,0)),""))</f>
        <v/>
      </c>
      <c r="F284">
        <f>IF($A284="","",IFERROR(INDEX('Master Inventory'!$E:$E,MATCH($C284,'Master Inventory'!$A:$A,0)),0))</f>
        <v/>
      </c>
      <c r="G284">
        <f>IF($A284="","",'Blind Count Entry'!F282)</f>
        <v/>
      </c>
      <c r="H284">
        <f>IF($A284="","",G284-F284)</f>
        <v/>
      </c>
      <c r="I284" s="17">
        <f>IF($A284="","",IF(F284=0,IF(H284=0,0,1),ABS(H284)/F284))</f>
        <v/>
      </c>
      <c r="J284" s="18">
        <f>IF($A284="","",IF($E284="A",$E$1,IF($E284="B",$G$1,$I$1)))</f>
        <v/>
      </c>
      <c r="K284">
        <f>IF($A284="","",IF(H284=0,"MATCH",IF(I284&gt;J284,"RECOUNT","WITHIN TOLERANCE")))</f>
        <v/>
      </c>
      <c r="L284" s="5" t="n"/>
      <c r="M284">
        <f>IF(OR($A284="",$L284=""),"",L284-F284)</f>
        <v/>
      </c>
      <c r="N284" s="5" t="n"/>
      <c r="O284" s="5" t="n"/>
    </row>
    <row r="285">
      <c r="A285">
        <f>IF('Blind Count Entry'!A283="","",'Blind Count Entry'!A283)</f>
        <v/>
      </c>
      <c r="B285" s="16">
        <f>IF($A285="","",'Blind Count Entry'!B283)</f>
        <v/>
      </c>
      <c r="C285">
        <f>IF($A285="","",'Blind Count Entry'!C283)</f>
        <v/>
      </c>
      <c r="D285">
        <f>IF($A285="","",'Blind Count Entry'!D283)</f>
        <v/>
      </c>
      <c r="E285">
        <f>IF($A285="","",IFERROR(INDEX('ABC Analysis'!$F:$F,MATCH($C285,'ABC Analysis'!$A:$A,0)),""))</f>
        <v/>
      </c>
      <c r="F285">
        <f>IF($A285="","",IFERROR(INDEX('Master Inventory'!$E:$E,MATCH($C285,'Master Inventory'!$A:$A,0)),0))</f>
        <v/>
      </c>
      <c r="G285">
        <f>IF($A285="","",'Blind Count Entry'!F283)</f>
        <v/>
      </c>
      <c r="H285">
        <f>IF($A285="","",G285-F285)</f>
        <v/>
      </c>
      <c r="I285" s="17">
        <f>IF($A285="","",IF(F285=0,IF(H285=0,0,1),ABS(H285)/F285))</f>
        <v/>
      </c>
      <c r="J285" s="18">
        <f>IF($A285="","",IF($E285="A",$E$1,IF($E285="B",$G$1,$I$1)))</f>
        <v/>
      </c>
      <c r="K285">
        <f>IF($A285="","",IF(H285=0,"MATCH",IF(I285&gt;J285,"RECOUNT","WITHIN TOLERANCE")))</f>
        <v/>
      </c>
      <c r="L285" s="5" t="n"/>
      <c r="M285">
        <f>IF(OR($A285="",$L285=""),"",L285-F285)</f>
        <v/>
      </c>
      <c r="N285" s="5" t="n"/>
      <c r="O285" s="5" t="n"/>
    </row>
    <row r="286">
      <c r="A286">
        <f>IF('Blind Count Entry'!A284="","",'Blind Count Entry'!A284)</f>
        <v/>
      </c>
      <c r="B286" s="16">
        <f>IF($A286="","",'Blind Count Entry'!B284)</f>
        <v/>
      </c>
      <c r="C286">
        <f>IF($A286="","",'Blind Count Entry'!C284)</f>
        <v/>
      </c>
      <c r="D286">
        <f>IF($A286="","",'Blind Count Entry'!D284)</f>
        <v/>
      </c>
      <c r="E286">
        <f>IF($A286="","",IFERROR(INDEX('ABC Analysis'!$F:$F,MATCH($C286,'ABC Analysis'!$A:$A,0)),""))</f>
        <v/>
      </c>
      <c r="F286">
        <f>IF($A286="","",IFERROR(INDEX('Master Inventory'!$E:$E,MATCH($C286,'Master Inventory'!$A:$A,0)),0))</f>
        <v/>
      </c>
      <c r="G286">
        <f>IF($A286="","",'Blind Count Entry'!F284)</f>
        <v/>
      </c>
      <c r="H286">
        <f>IF($A286="","",G286-F286)</f>
        <v/>
      </c>
      <c r="I286" s="17">
        <f>IF($A286="","",IF(F286=0,IF(H286=0,0,1),ABS(H286)/F286))</f>
        <v/>
      </c>
      <c r="J286" s="18">
        <f>IF($A286="","",IF($E286="A",$E$1,IF($E286="B",$G$1,$I$1)))</f>
        <v/>
      </c>
      <c r="K286">
        <f>IF($A286="","",IF(H286=0,"MATCH",IF(I286&gt;J286,"RECOUNT","WITHIN TOLERANCE")))</f>
        <v/>
      </c>
      <c r="L286" s="5" t="n"/>
      <c r="M286">
        <f>IF(OR($A286="",$L286=""),"",L286-F286)</f>
        <v/>
      </c>
      <c r="N286" s="5" t="n"/>
      <c r="O286" s="5" t="n"/>
    </row>
    <row r="287">
      <c r="A287">
        <f>IF('Blind Count Entry'!A285="","",'Blind Count Entry'!A285)</f>
        <v/>
      </c>
      <c r="B287" s="16">
        <f>IF($A287="","",'Blind Count Entry'!B285)</f>
        <v/>
      </c>
      <c r="C287">
        <f>IF($A287="","",'Blind Count Entry'!C285)</f>
        <v/>
      </c>
      <c r="D287">
        <f>IF($A287="","",'Blind Count Entry'!D285)</f>
        <v/>
      </c>
      <c r="E287">
        <f>IF($A287="","",IFERROR(INDEX('ABC Analysis'!$F:$F,MATCH($C287,'ABC Analysis'!$A:$A,0)),""))</f>
        <v/>
      </c>
      <c r="F287">
        <f>IF($A287="","",IFERROR(INDEX('Master Inventory'!$E:$E,MATCH($C287,'Master Inventory'!$A:$A,0)),0))</f>
        <v/>
      </c>
      <c r="G287">
        <f>IF($A287="","",'Blind Count Entry'!F285)</f>
        <v/>
      </c>
      <c r="H287">
        <f>IF($A287="","",G287-F287)</f>
        <v/>
      </c>
      <c r="I287" s="17">
        <f>IF($A287="","",IF(F287=0,IF(H287=0,0,1),ABS(H287)/F287))</f>
        <v/>
      </c>
      <c r="J287" s="18">
        <f>IF($A287="","",IF($E287="A",$E$1,IF($E287="B",$G$1,$I$1)))</f>
        <v/>
      </c>
      <c r="K287">
        <f>IF($A287="","",IF(H287=0,"MATCH",IF(I287&gt;J287,"RECOUNT","WITHIN TOLERANCE")))</f>
        <v/>
      </c>
      <c r="L287" s="5" t="n"/>
      <c r="M287">
        <f>IF(OR($A287="",$L287=""),"",L287-F287)</f>
        <v/>
      </c>
      <c r="N287" s="5" t="n"/>
      <c r="O287" s="5" t="n"/>
    </row>
    <row r="288">
      <c r="A288">
        <f>IF('Blind Count Entry'!A286="","",'Blind Count Entry'!A286)</f>
        <v/>
      </c>
      <c r="B288" s="16">
        <f>IF($A288="","",'Blind Count Entry'!B286)</f>
        <v/>
      </c>
      <c r="C288">
        <f>IF($A288="","",'Blind Count Entry'!C286)</f>
        <v/>
      </c>
      <c r="D288">
        <f>IF($A288="","",'Blind Count Entry'!D286)</f>
        <v/>
      </c>
      <c r="E288">
        <f>IF($A288="","",IFERROR(INDEX('ABC Analysis'!$F:$F,MATCH($C288,'ABC Analysis'!$A:$A,0)),""))</f>
        <v/>
      </c>
      <c r="F288">
        <f>IF($A288="","",IFERROR(INDEX('Master Inventory'!$E:$E,MATCH($C288,'Master Inventory'!$A:$A,0)),0))</f>
        <v/>
      </c>
      <c r="G288">
        <f>IF($A288="","",'Blind Count Entry'!F286)</f>
        <v/>
      </c>
      <c r="H288">
        <f>IF($A288="","",G288-F288)</f>
        <v/>
      </c>
      <c r="I288" s="17">
        <f>IF($A288="","",IF(F288=0,IF(H288=0,0,1),ABS(H288)/F288))</f>
        <v/>
      </c>
      <c r="J288" s="18">
        <f>IF($A288="","",IF($E288="A",$E$1,IF($E288="B",$G$1,$I$1)))</f>
        <v/>
      </c>
      <c r="K288">
        <f>IF($A288="","",IF(H288=0,"MATCH",IF(I288&gt;J288,"RECOUNT","WITHIN TOLERANCE")))</f>
        <v/>
      </c>
      <c r="L288" s="5" t="n"/>
      <c r="M288">
        <f>IF(OR($A288="",$L288=""),"",L288-F288)</f>
        <v/>
      </c>
      <c r="N288" s="5" t="n"/>
      <c r="O288" s="5" t="n"/>
    </row>
    <row r="289">
      <c r="A289">
        <f>IF('Blind Count Entry'!A287="","",'Blind Count Entry'!A287)</f>
        <v/>
      </c>
      <c r="B289" s="16">
        <f>IF($A289="","",'Blind Count Entry'!B287)</f>
        <v/>
      </c>
      <c r="C289">
        <f>IF($A289="","",'Blind Count Entry'!C287)</f>
        <v/>
      </c>
      <c r="D289">
        <f>IF($A289="","",'Blind Count Entry'!D287)</f>
        <v/>
      </c>
      <c r="E289">
        <f>IF($A289="","",IFERROR(INDEX('ABC Analysis'!$F:$F,MATCH($C289,'ABC Analysis'!$A:$A,0)),""))</f>
        <v/>
      </c>
      <c r="F289">
        <f>IF($A289="","",IFERROR(INDEX('Master Inventory'!$E:$E,MATCH($C289,'Master Inventory'!$A:$A,0)),0))</f>
        <v/>
      </c>
      <c r="G289">
        <f>IF($A289="","",'Blind Count Entry'!F287)</f>
        <v/>
      </c>
      <c r="H289">
        <f>IF($A289="","",G289-F289)</f>
        <v/>
      </c>
      <c r="I289" s="17">
        <f>IF($A289="","",IF(F289=0,IF(H289=0,0,1),ABS(H289)/F289))</f>
        <v/>
      </c>
      <c r="J289" s="18">
        <f>IF($A289="","",IF($E289="A",$E$1,IF($E289="B",$G$1,$I$1)))</f>
        <v/>
      </c>
      <c r="K289">
        <f>IF($A289="","",IF(H289=0,"MATCH",IF(I289&gt;J289,"RECOUNT","WITHIN TOLERANCE")))</f>
        <v/>
      </c>
      <c r="L289" s="5" t="n"/>
      <c r="M289">
        <f>IF(OR($A289="",$L289=""),"",L289-F289)</f>
        <v/>
      </c>
      <c r="N289" s="5" t="n"/>
      <c r="O289" s="5" t="n"/>
    </row>
    <row r="290">
      <c r="A290">
        <f>IF('Blind Count Entry'!A288="","",'Blind Count Entry'!A288)</f>
        <v/>
      </c>
      <c r="B290" s="16">
        <f>IF($A290="","",'Blind Count Entry'!B288)</f>
        <v/>
      </c>
      <c r="C290">
        <f>IF($A290="","",'Blind Count Entry'!C288)</f>
        <v/>
      </c>
      <c r="D290">
        <f>IF($A290="","",'Blind Count Entry'!D288)</f>
        <v/>
      </c>
      <c r="E290">
        <f>IF($A290="","",IFERROR(INDEX('ABC Analysis'!$F:$F,MATCH($C290,'ABC Analysis'!$A:$A,0)),""))</f>
        <v/>
      </c>
      <c r="F290">
        <f>IF($A290="","",IFERROR(INDEX('Master Inventory'!$E:$E,MATCH($C290,'Master Inventory'!$A:$A,0)),0))</f>
        <v/>
      </c>
      <c r="G290">
        <f>IF($A290="","",'Blind Count Entry'!F288)</f>
        <v/>
      </c>
      <c r="H290">
        <f>IF($A290="","",G290-F290)</f>
        <v/>
      </c>
      <c r="I290" s="17">
        <f>IF($A290="","",IF(F290=0,IF(H290=0,0,1),ABS(H290)/F290))</f>
        <v/>
      </c>
      <c r="J290" s="18">
        <f>IF($A290="","",IF($E290="A",$E$1,IF($E290="B",$G$1,$I$1)))</f>
        <v/>
      </c>
      <c r="K290">
        <f>IF($A290="","",IF(H290=0,"MATCH",IF(I290&gt;J290,"RECOUNT","WITHIN TOLERANCE")))</f>
        <v/>
      </c>
      <c r="L290" s="5" t="n"/>
      <c r="M290">
        <f>IF(OR($A290="",$L290=""),"",L290-F290)</f>
        <v/>
      </c>
      <c r="N290" s="5" t="n"/>
      <c r="O290" s="5" t="n"/>
    </row>
    <row r="291">
      <c r="A291">
        <f>IF('Blind Count Entry'!A289="","",'Blind Count Entry'!A289)</f>
        <v/>
      </c>
      <c r="B291" s="16">
        <f>IF($A291="","",'Blind Count Entry'!B289)</f>
        <v/>
      </c>
      <c r="C291">
        <f>IF($A291="","",'Blind Count Entry'!C289)</f>
        <v/>
      </c>
      <c r="D291">
        <f>IF($A291="","",'Blind Count Entry'!D289)</f>
        <v/>
      </c>
      <c r="E291">
        <f>IF($A291="","",IFERROR(INDEX('ABC Analysis'!$F:$F,MATCH($C291,'ABC Analysis'!$A:$A,0)),""))</f>
        <v/>
      </c>
      <c r="F291">
        <f>IF($A291="","",IFERROR(INDEX('Master Inventory'!$E:$E,MATCH($C291,'Master Inventory'!$A:$A,0)),0))</f>
        <v/>
      </c>
      <c r="G291">
        <f>IF($A291="","",'Blind Count Entry'!F289)</f>
        <v/>
      </c>
      <c r="H291">
        <f>IF($A291="","",G291-F291)</f>
        <v/>
      </c>
      <c r="I291" s="17">
        <f>IF($A291="","",IF(F291=0,IF(H291=0,0,1),ABS(H291)/F291))</f>
        <v/>
      </c>
      <c r="J291" s="18">
        <f>IF($A291="","",IF($E291="A",$E$1,IF($E291="B",$G$1,$I$1)))</f>
        <v/>
      </c>
      <c r="K291">
        <f>IF($A291="","",IF(H291=0,"MATCH",IF(I291&gt;J291,"RECOUNT","WITHIN TOLERANCE")))</f>
        <v/>
      </c>
      <c r="L291" s="5" t="n"/>
      <c r="M291">
        <f>IF(OR($A291="",$L291=""),"",L291-F291)</f>
        <v/>
      </c>
      <c r="N291" s="5" t="n"/>
      <c r="O291" s="5" t="n"/>
    </row>
    <row r="292">
      <c r="A292">
        <f>IF('Blind Count Entry'!A290="","",'Blind Count Entry'!A290)</f>
        <v/>
      </c>
      <c r="B292" s="16">
        <f>IF($A292="","",'Blind Count Entry'!B290)</f>
        <v/>
      </c>
      <c r="C292">
        <f>IF($A292="","",'Blind Count Entry'!C290)</f>
        <v/>
      </c>
      <c r="D292">
        <f>IF($A292="","",'Blind Count Entry'!D290)</f>
        <v/>
      </c>
      <c r="E292">
        <f>IF($A292="","",IFERROR(INDEX('ABC Analysis'!$F:$F,MATCH($C292,'ABC Analysis'!$A:$A,0)),""))</f>
        <v/>
      </c>
      <c r="F292">
        <f>IF($A292="","",IFERROR(INDEX('Master Inventory'!$E:$E,MATCH($C292,'Master Inventory'!$A:$A,0)),0))</f>
        <v/>
      </c>
      <c r="G292">
        <f>IF($A292="","",'Blind Count Entry'!F290)</f>
        <v/>
      </c>
      <c r="H292">
        <f>IF($A292="","",G292-F292)</f>
        <v/>
      </c>
      <c r="I292" s="17">
        <f>IF($A292="","",IF(F292=0,IF(H292=0,0,1),ABS(H292)/F292))</f>
        <v/>
      </c>
      <c r="J292" s="18">
        <f>IF($A292="","",IF($E292="A",$E$1,IF($E292="B",$G$1,$I$1)))</f>
        <v/>
      </c>
      <c r="K292">
        <f>IF($A292="","",IF(H292=0,"MATCH",IF(I292&gt;J292,"RECOUNT","WITHIN TOLERANCE")))</f>
        <v/>
      </c>
      <c r="L292" s="5" t="n"/>
      <c r="M292">
        <f>IF(OR($A292="",$L292=""),"",L292-F292)</f>
        <v/>
      </c>
      <c r="N292" s="5" t="n"/>
      <c r="O292" s="5" t="n"/>
    </row>
    <row r="293">
      <c r="A293">
        <f>IF('Blind Count Entry'!A291="","",'Blind Count Entry'!A291)</f>
        <v/>
      </c>
      <c r="B293" s="16">
        <f>IF($A293="","",'Blind Count Entry'!B291)</f>
        <v/>
      </c>
      <c r="C293">
        <f>IF($A293="","",'Blind Count Entry'!C291)</f>
        <v/>
      </c>
      <c r="D293">
        <f>IF($A293="","",'Blind Count Entry'!D291)</f>
        <v/>
      </c>
      <c r="E293">
        <f>IF($A293="","",IFERROR(INDEX('ABC Analysis'!$F:$F,MATCH($C293,'ABC Analysis'!$A:$A,0)),""))</f>
        <v/>
      </c>
      <c r="F293">
        <f>IF($A293="","",IFERROR(INDEX('Master Inventory'!$E:$E,MATCH($C293,'Master Inventory'!$A:$A,0)),0))</f>
        <v/>
      </c>
      <c r="G293">
        <f>IF($A293="","",'Blind Count Entry'!F291)</f>
        <v/>
      </c>
      <c r="H293">
        <f>IF($A293="","",G293-F293)</f>
        <v/>
      </c>
      <c r="I293" s="17">
        <f>IF($A293="","",IF(F293=0,IF(H293=0,0,1),ABS(H293)/F293))</f>
        <v/>
      </c>
      <c r="J293" s="18">
        <f>IF($A293="","",IF($E293="A",$E$1,IF($E293="B",$G$1,$I$1)))</f>
        <v/>
      </c>
      <c r="K293">
        <f>IF($A293="","",IF(H293=0,"MATCH",IF(I293&gt;J293,"RECOUNT","WITHIN TOLERANCE")))</f>
        <v/>
      </c>
      <c r="L293" s="5" t="n"/>
      <c r="M293">
        <f>IF(OR($A293="",$L293=""),"",L293-F293)</f>
        <v/>
      </c>
      <c r="N293" s="5" t="n"/>
      <c r="O293" s="5" t="n"/>
    </row>
    <row r="294">
      <c r="A294">
        <f>IF('Blind Count Entry'!A292="","",'Blind Count Entry'!A292)</f>
        <v/>
      </c>
      <c r="B294" s="16">
        <f>IF($A294="","",'Blind Count Entry'!B292)</f>
        <v/>
      </c>
      <c r="C294">
        <f>IF($A294="","",'Blind Count Entry'!C292)</f>
        <v/>
      </c>
      <c r="D294">
        <f>IF($A294="","",'Blind Count Entry'!D292)</f>
        <v/>
      </c>
      <c r="E294">
        <f>IF($A294="","",IFERROR(INDEX('ABC Analysis'!$F:$F,MATCH($C294,'ABC Analysis'!$A:$A,0)),""))</f>
        <v/>
      </c>
      <c r="F294">
        <f>IF($A294="","",IFERROR(INDEX('Master Inventory'!$E:$E,MATCH($C294,'Master Inventory'!$A:$A,0)),0))</f>
        <v/>
      </c>
      <c r="G294">
        <f>IF($A294="","",'Blind Count Entry'!F292)</f>
        <v/>
      </c>
      <c r="H294">
        <f>IF($A294="","",G294-F294)</f>
        <v/>
      </c>
      <c r="I294" s="17">
        <f>IF($A294="","",IF(F294=0,IF(H294=0,0,1),ABS(H294)/F294))</f>
        <v/>
      </c>
      <c r="J294" s="18">
        <f>IF($A294="","",IF($E294="A",$E$1,IF($E294="B",$G$1,$I$1)))</f>
        <v/>
      </c>
      <c r="K294">
        <f>IF($A294="","",IF(H294=0,"MATCH",IF(I294&gt;J294,"RECOUNT","WITHIN TOLERANCE")))</f>
        <v/>
      </c>
      <c r="L294" s="5" t="n"/>
      <c r="M294">
        <f>IF(OR($A294="",$L294=""),"",L294-F294)</f>
        <v/>
      </c>
      <c r="N294" s="5" t="n"/>
      <c r="O294" s="5" t="n"/>
    </row>
    <row r="295">
      <c r="A295">
        <f>IF('Blind Count Entry'!A293="","",'Blind Count Entry'!A293)</f>
        <v/>
      </c>
      <c r="B295" s="16">
        <f>IF($A295="","",'Blind Count Entry'!B293)</f>
        <v/>
      </c>
      <c r="C295">
        <f>IF($A295="","",'Blind Count Entry'!C293)</f>
        <v/>
      </c>
      <c r="D295">
        <f>IF($A295="","",'Blind Count Entry'!D293)</f>
        <v/>
      </c>
      <c r="E295">
        <f>IF($A295="","",IFERROR(INDEX('ABC Analysis'!$F:$F,MATCH($C295,'ABC Analysis'!$A:$A,0)),""))</f>
        <v/>
      </c>
      <c r="F295">
        <f>IF($A295="","",IFERROR(INDEX('Master Inventory'!$E:$E,MATCH($C295,'Master Inventory'!$A:$A,0)),0))</f>
        <v/>
      </c>
      <c r="G295">
        <f>IF($A295="","",'Blind Count Entry'!F293)</f>
        <v/>
      </c>
      <c r="H295">
        <f>IF($A295="","",G295-F295)</f>
        <v/>
      </c>
      <c r="I295" s="17">
        <f>IF($A295="","",IF(F295=0,IF(H295=0,0,1),ABS(H295)/F295))</f>
        <v/>
      </c>
      <c r="J295" s="18">
        <f>IF($A295="","",IF($E295="A",$E$1,IF($E295="B",$G$1,$I$1)))</f>
        <v/>
      </c>
      <c r="K295">
        <f>IF($A295="","",IF(H295=0,"MATCH",IF(I295&gt;J295,"RECOUNT","WITHIN TOLERANCE")))</f>
        <v/>
      </c>
      <c r="L295" s="5" t="n"/>
      <c r="M295">
        <f>IF(OR($A295="",$L295=""),"",L295-F295)</f>
        <v/>
      </c>
      <c r="N295" s="5" t="n"/>
      <c r="O295" s="5" t="n"/>
    </row>
    <row r="296">
      <c r="A296">
        <f>IF('Blind Count Entry'!A294="","",'Blind Count Entry'!A294)</f>
        <v/>
      </c>
      <c r="B296" s="16">
        <f>IF($A296="","",'Blind Count Entry'!B294)</f>
        <v/>
      </c>
      <c r="C296">
        <f>IF($A296="","",'Blind Count Entry'!C294)</f>
        <v/>
      </c>
      <c r="D296">
        <f>IF($A296="","",'Blind Count Entry'!D294)</f>
        <v/>
      </c>
      <c r="E296">
        <f>IF($A296="","",IFERROR(INDEX('ABC Analysis'!$F:$F,MATCH($C296,'ABC Analysis'!$A:$A,0)),""))</f>
        <v/>
      </c>
      <c r="F296">
        <f>IF($A296="","",IFERROR(INDEX('Master Inventory'!$E:$E,MATCH($C296,'Master Inventory'!$A:$A,0)),0))</f>
        <v/>
      </c>
      <c r="G296">
        <f>IF($A296="","",'Blind Count Entry'!F294)</f>
        <v/>
      </c>
      <c r="H296">
        <f>IF($A296="","",G296-F296)</f>
        <v/>
      </c>
      <c r="I296" s="17">
        <f>IF($A296="","",IF(F296=0,IF(H296=0,0,1),ABS(H296)/F296))</f>
        <v/>
      </c>
      <c r="J296" s="18">
        <f>IF($A296="","",IF($E296="A",$E$1,IF($E296="B",$G$1,$I$1)))</f>
        <v/>
      </c>
      <c r="K296">
        <f>IF($A296="","",IF(H296=0,"MATCH",IF(I296&gt;J296,"RECOUNT","WITHIN TOLERANCE")))</f>
        <v/>
      </c>
      <c r="L296" s="5" t="n"/>
      <c r="M296">
        <f>IF(OR($A296="",$L296=""),"",L296-F296)</f>
        <v/>
      </c>
      <c r="N296" s="5" t="n"/>
      <c r="O296" s="5" t="n"/>
    </row>
    <row r="297">
      <c r="A297">
        <f>IF('Blind Count Entry'!A295="","",'Blind Count Entry'!A295)</f>
        <v/>
      </c>
      <c r="B297" s="16">
        <f>IF($A297="","",'Blind Count Entry'!B295)</f>
        <v/>
      </c>
      <c r="C297">
        <f>IF($A297="","",'Blind Count Entry'!C295)</f>
        <v/>
      </c>
      <c r="D297">
        <f>IF($A297="","",'Blind Count Entry'!D295)</f>
        <v/>
      </c>
      <c r="E297">
        <f>IF($A297="","",IFERROR(INDEX('ABC Analysis'!$F:$F,MATCH($C297,'ABC Analysis'!$A:$A,0)),""))</f>
        <v/>
      </c>
      <c r="F297">
        <f>IF($A297="","",IFERROR(INDEX('Master Inventory'!$E:$E,MATCH($C297,'Master Inventory'!$A:$A,0)),0))</f>
        <v/>
      </c>
      <c r="G297">
        <f>IF($A297="","",'Blind Count Entry'!F295)</f>
        <v/>
      </c>
      <c r="H297">
        <f>IF($A297="","",G297-F297)</f>
        <v/>
      </c>
      <c r="I297" s="17">
        <f>IF($A297="","",IF(F297=0,IF(H297=0,0,1),ABS(H297)/F297))</f>
        <v/>
      </c>
      <c r="J297" s="18">
        <f>IF($A297="","",IF($E297="A",$E$1,IF($E297="B",$G$1,$I$1)))</f>
        <v/>
      </c>
      <c r="K297">
        <f>IF($A297="","",IF(H297=0,"MATCH",IF(I297&gt;J297,"RECOUNT","WITHIN TOLERANCE")))</f>
        <v/>
      </c>
      <c r="L297" s="5" t="n"/>
      <c r="M297">
        <f>IF(OR($A297="",$L297=""),"",L297-F297)</f>
        <v/>
      </c>
      <c r="N297" s="5" t="n"/>
      <c r="O297" s="5" t="n"/>
    </row>
    <row r="298">
      <c r="A298">
        <f>IF('Blind Count Entry'!A296="","",'Blind Count Entry'!A296)</f>
        <v/>
      </c>
      <c r="B298" s="16">
        <f>IF($A298="","",'Blind Count Entry'!B296)</f>
        <v/>
      </c>
      <c r="C298">
        <f>IF($A298="","",'Blind Count Entry'!C296)</f>
        <v/>
      </c>
      <c r="D298">
        <f>IF($A298="","",'Blind Count Entry'!D296)</f>
        <v/>
      </c>
      <c r="E298">
        <f>IF($A298="","",IFERROR(INDEX('ABC Analysis'!$F:$F,MATCH($C298,'ABC Analysis'!$A:$A,0)),""))</f>
        <v/>
      </c>
      <c r="F298">
        <f>IF($A298="","",IFERROR(INDEX('Master Inventory'!$E:$E,MATCH($C298,'Master Inventory'!$A:$A,0)),0))</f>
        <v/>
      </c>
      <c r="G298">
        <f>IF($A298="","",'Blind Count Entry'!F296)</f>
        <v/>
      </c>
      <c r="H298">
        <f>IF($A298="","",G298-F298)</f>
        <v/>
      </c>
      <c r="I298" s="17">
        <f>IF($A298="","",IF(F298=0,IF(H298=0,0,1),ABS(H298)/F298))</f>
        <v/>
      </c>
      <c r="J298" s="18">
        <f>IF($A298="","",IF($E298="A",$E$1,IF($E298="B",$G$1,$I$1)))</f>
        <v/>
      </c>
      <c r="K298">
        <f>IF($A298="","",IF(H298=0,"MATCH",IF(I298&gt;J298,"RECOUNT","WITHIN TOLERANCE")))</f>
        <v/>
      </c>
      <c r="L298" s="5" t="n"/>
      <c r="M298">
        <f>IF(OR($A298="",$L298=""),"",L298-F298)</f>
        <v/>
      </c>
      <c r="N298" s="5" t="n"/>
      <c r="O298" s="5" t="n"/>
    </row>
    <row r="299">
      <c r="A299">
        <f>IF('Blind Count Entry'!A297="","",'Blind Count Entry'!A297)</f>
        <v/>
      </c>
      <c r="B299" s="16">
        <f>IF($A299="","",'Blind Count Entry'!B297)</f>
        <v/>
      </c>
      <c r="C299">
        <f>IF($A299="","",'Blind Count Entry'!C297)</f>
        <v/>
      </c>
      <c r="D299">
        <f>IF($A299="","",'Blind Count Entry'!D297)</f>
        <v/>
      </c>
      <c r="E299">
        <f>IF($A299="","",IFERROR(INDEX('ABC Analysis'!$F:$F,MATCH($C299,'ABC Analysis'!$A:$A,0)),""))</f>
        <v/>
      </c>
      <c r="F299">
        <f>IF($A299="","",IFERROR(INDEX('Master Inventory'!$E:$E,MATCH($C299,'Master Inventory'!$A:$A,0)),0))</f>
        <v/>
      </c>
      <c r="G299">
        <f>IF($A299="","",'Blind Count Entry'!F297)</f>
        <v/>
      </c>
      <c r="H299">
        <f>IF($A299="","",G299-F299)</f>
        <v/>
      </c>
      <c r="I299" s="17">
        <f>IF($A299="","",IF(F299=0,IF(H299=0,0,1),ABS(H299)/F299))</f>
        <v/>
      </c>
      <c r="J299" s="18">
        <f>IF($A299="","",IF($E299="A",$E$1,IF($E299="B",$G$1,$I$1)))</f>
        <v/>
      </c>
      <c r="K299">
        <f>IF($A299="","",IF(H299=0,"MATCH",IF(I299&gt;J299,"RECOUNT","WITHIN TOLERANCE")))</f>
        <v/>
      </c>
      <c r="L299" s="5" t="n"/>
      <c r="M299">
        <f>IF(OR($A299="",$L299=""),"",L299-F299)</f>
        <v/>
      </c>
      <c r="N299" s="5" t="n"/>
      <c r="O299" s="5" t="n"/>
    </row>
    <row r="300">
      <c r="A300">
        <f>IF('Blind Count Entry'!A298="","",'Blind Count Entry'!A298)</f>
        <v/>
      </c>
      <c r="B300" s="16">
        <f>IF($A300="","",'Blind Count Entry'!B298)</f>
        <v/>
      </c>
      <c r="C300">
        <f>IF($A300="","",'Blind Count Entry'!C298)</f>
        <v/>
      </c>
      <c r="D300">
        <f>IF($A300="","",'Blind Count Entry'!D298)</f>
        <v/>
      </c>
      <c r="E300">
        <f>IF($A300="","",IFERROR(INDEX('ABC Analysis'!$F:$F,MATCH($C300,'ABC Analysis'!$A:$A,0)),""))</f>
        <v/>
      </c>
      <c r="F300">
        <f>IF($A300="","",IFERROR(INDEX('Master Inventory'!$E:$E,MATCH($C300,'Master Inventory'!$A:$A,0)),0))</f>
        <v/>
      </c>
      <c r="G300">
        <f>IF($A300="","",'Blind Count Entry'!F298)</f>
        <v/>
      </c>
      <c r="H300">
        <f>IF($A300="","",G300-F300)</f>
        <v/>
      </c>
      <c r="I300" s="17">
        <f>IF($A300="","",IF(F300=0,IF(H300=0,0,1),ABS(H300)/F300))</f>
        <v/>
      </c>
      <c r="J300" s="18">
        <f>IF($A300="","",IF($E300="A",$E$1,IF($E300="B",$G$1,$I$1)))</f>
        <v/>
      </c>
      <c r="K300">
        <f>IF($A300="","",IF(H300=0,"MATCH",IF(I300&gt;J300,"RECOUNT","WITHIN TOLERANCE")))</f>
        <v/>
      </c>
      <c r="L300" s="5" t="n"/>
      <c r="M300">
        <f>IF(OR($A300="",$L300=""),"",L300-F300)</f>
        <v/>
      </c>
      <c r="N300" s="5" t="n"/>
      <c r="O300" s="5" t="n"/>
    </row>
    <row r="301">
      <c r="A301">
        <f>IF('Blind Count Entry'!A299="","",'Blind Count Entry'!A299)</f>
        <v/>
      </c>
      <c r="B301" s="16">
        <f>IF($A301="","",'Blind Count Entry'!B299)</f>
        <v/>
      </c>
      <c r="C301">
        <f>IF($A301="","",'Blind Count Entry'!C299)</f>
        <v/>
      </c>
      <c r="D301">
        <f>IF($A301="","",'Blind Count Entry'!D299)</f>
        <v/>
      </c>
      <c r="E301">
        <f>IF($A301="","",IFERROR(INDEX('ABC Analysis'!$F:$F,MATCH($C301,'ABC Analysis'!$A:$A,0)),""))</f>
        <v/>
      </c>
      <c r="F301">
        <f>IF($A301="","",IFERROR(INDEX('Master Inventory'!$E:$E,MATCH($C301,'Master Inventory'!$A:$A,0)),0))</f>
        <v/>
      </c>
      <c r="G301">
        <f>IF($A301="","",'Blind Count Entry'!F299)</f>
        <v/>
      </c>
      <c r="H301">
        <f>IF($A301="","",G301-F301)</f>
        <v/>
      </c>
      <c r="I301" s="17">
        <f>IF($A301="","",IF(F301=0,IF(H301=0,0,1),ABS(H301)/F301))</f>
        <v/>
      </c>
      <c r="J301" s="18">
        <f>IF($A301="","",IF($E301="A",$E$1,IF($E301="B",$G$1,$I$1)))</f>
        <v/>
      </c>
      <c r="K301">
        <f>IF($A301="","",IF(H301=0,"MATCH",IF(I301&gt;J301,"RECOUNT","WITHIN TOLERANCE")))</f>
        <v/>
      </c>
      <c r="L301" s="5" t="n"/>
      <c r="M301">
        <f>IF(OR($A301="",$L301=""),"",L301-F301)</f>
        <v/>
      </c>
      <c r="N301" s="5" t="n"/>
      <c r="O301" s="5" t="n"/>
    </row>
    <row r="302">
      <c r="A302">
        <f>IF('Blind Count Entry'!A300="","",'Blind Count Entry'!A300)</f>
        <v/>
      </c>
      <c r="B302" s="16">
        <f>IF($A302="","",'Blind Count Entry'!B300)</f>
        <v/>
      </c>
      <c r="C302">
        <f>IF($A302="","",'Blind Count Entry'!C300)</f>
        <v/>
      </c>
      <c r="D302">
        <f>IF($A302="","",'Blind Count Entry'!D300)</f>
        <v/>
      </c>
      <c r="E302">
        <f>IF($A302="","",IFERROR(INDEX('ABC Analysis'!$F:$F,MATCH($C302,'ABC Analysis'!$A:$A,0)),""))</f>
        <v/>
      </c>
      <c r="F302">
        <f>IF($A302="","",IFERROR(INDEX('Master Inventory'!$E:$E,MATCH($C302,'Master Inventory'!$A:$A,0)),0))</f>
        <v/>
      </c>
      <c r="G302">
        <f>IF($A302="","",'Blind Count Entry'!F300)</f>
        <v/>
      </c>
      <c r="H302">
        <f>IF($A302="","",G302-F302)</f>
        <v/>
      </c>
      <c r="I302" s="17">
        <f>IF($A302="","",IF(F302=0,IF(H302=0,0,1),ABS(H302)/F302))</f>
        <v/>
      </c>
      <c r="J302" s="18">
        <f>IF($A302="","",IF($E302="A",$E$1,IF($E302="B",$G$1,$I$1)))</f>
        <v/>
      </c>
      <c r="K302">
        <f>IF($A302="","",IF(H302=0,"MATCH",IF(I302&gt;J302,"RECOUNT","WITHIN TOLERANCE")))</f>
        <v/>
      </c>
      <c r="L302" s="5" t="n"/>
      <c r="M302">
        <f>IF(OR($A302="",$L302=""),"",L302-F302)</f>
        <v/>
      </c>
      <c r="N302" s="5" t="n"/>
      <c r="O302" s="5" t="n"/>
    </row>
    <row r="303">
      <c r="A303">
        <f>IF('Blind Count Entry'!A301="","",'Blind Count Entry'!A301)</f>
        <v/>
      </c>
      <c r="B303" s="16">
        <f>IF($A303="","",'Blind Count Entry'!B301)</f>
        <v/>
      </c>
      <c r="C303">
        <f>IF($A303="","",'Blind Count Entry'!C301)</f>
        <v/>
      </c>
      <c r="D303">
        <f>IF($A303="","",'Blind Count Entry'!D301)</f>
        <v/>
      </c>
      <c r="E303">
        <f>IF($A303="","",IFERROR(INDEX('ABC Analysis'!$F:$F,MATCH($C303,'ABC Analysis'!$A:$A,0)),""))</f>
        <v/>
      </c>
      <c r="F303">
        <f>IF($A303="","",IFERROR(INDEX('Master Inventory'!$E:$E,MATCH($C303,'Master Inventory'!$A:$A,0)),0))</f>
        <v/>
      </c>
      <c r="G303">
        <f>IF($A303="","",'Blind Count Entry'!F301)</f>
        <v/>
      </c>
      <c r="H303">
        <f>IF($A303="","",G303-F303)</f>
        <v/>
      </c>
      <c r="I303" s="17">
        <f>IF($A303="","",IF(F303=0,IF(H303=0,0,1),ABS(H303)/F303))</f>
        <v/>
      </c>
      <c r="J303" s="18">
        <f>IF($A303="","",IF($E303="A",$E$1,IF($E303="B",$G$1,$I$1)))</f>
        <v/>
      </c>
      <c r="K303">
        <f>IF($A303="","",IF(H303=0,"MATCH",IF(I303&gt;J303,"RECOUNT","WITHIN TOLERANCE")))</f>
        <v/>
      </c>
      <c r="L303" s="5" t="n"/>
      <c r="M303">
        <f>IF(OR($A303="",$L303=""),"",L303-F303)</f>
        <v/>
      </c>
      <c r="N303" s="5" t="n"/>
      <c r="O303" s="5" t="n"/>
    </row>
    <row r="304">
      <c r="A304">
        <f>IF('Blind Count Entry'!A302="","",'Blind Count Entry'!A302)</f>
        <v/>
      </c>
      <c r="B304" s="16">
        <f>IF($A304="","",'Blind Count Entry'!B302)</f>
        <v/>
      </c>
      <c r="C304">
        <f>IF($A304="","",'Blind Count Entry'!C302)</f>
        <v/>
      </c>
      <c r="D304">
        <f>IF($A304="","",'Blind Count Entry'!D302)</f>
        <v/>
      </c>
      <c r="E304">
        <f>IF($A304="","",IFERROR(INDEX('ABC Analysis'!$F:$F,MATCH($C304,'ABC Analysis'!$A:$A,0)),""))</f>
        <v/>
      </c>
      <c r="F304">
        <f>IF($A304="","",IFERROR(INDEX('Master Inventory'!$E:$E,MATCH($C304,'Master Inventory'!$A:$A,0)),0))</f>
        <v/>
      </c>
      <c r="G304">
        <f>IF($A304="","",'Blind Count Entry'!F302)</f>
        <v/>
      </c>
      <c r="H304">
        <f>IF($A304="","",G304-F304)</f>
        <v/>
      </c>
      <c r="I304" s="17">
        <f>IF($A304="","",IF(F304=0,IF(H304=0,0,1),ABS(H304)/F304))</f>
        <v/>
      </c>
      <c r="J304" s="18">
        <f>IF($A304="","",IF($E304="A",$E$1,IF($E304="B",$G$1,$I$1)))</f>
        <v/>
      </c>
      <c r="K304">
        <f>IF($A304="","",IF(H304=0,"MATCH",IF(I304&gt;J304,"RECOUNT","WITHIN TOLERANCE")))</f>
        <v/>
      </c>
      <c r="L304" s="5" t="n"/>
      <c r="M304">
        <f>IF(OR($A304="",$L304=""),"",L304-F304)</f>
        <v/>
      </c>
      <c r="N304" s="5" t="n"/>
      <c r="O304" s="5" t="n"/>
    </row>
    <row r="305">
      <c r="A305">
        <f>IF('Blind Count Entry'!A303="","",'Blind Count Entry'!A303)</f>
        <v/>
      </c>
      <c r="B305" s="16">
        <f>IF($A305="","",'Blind Count Entry'!B303)</f>
        <v/>
      </c>
      <c r="C305">
        <f>IF($A305="","",'Blind Count Entry'!C303)</f>
        <v/>
      </c>
      <c r="D305">
        <f>IF($A305="","",'Blind Count Entry'!D303)</f>
        <v/>
      </c>
      <c r="E305">
        <f>IF($A305="","",IFERROR(INDEX('ABC Analysis'!$F:$F,MATCH($C305,'ABC Analysis'!$A:$A,0)),""))</f>
        <v/>
      </c>
      <c r="F305">
        <f>IF($A305="","",IFERROR(INDEX('Master Inventory'!$E:$E,MATCH($C305,'Master Inventory'!$A:$A,0)),0))</f>
        <v/>
      </c>
      <c r="G305">
        <f>IF($A305="","",'Blind Count Entry'!F303)</f>
        <v/>
      </c>
      <c r="H305">
        <f>IF($A305="","",G305-F305)</f>
        <v/>
      </c>
      <c r="I305" s="17">
        <f>IF($A305="","",IF(F305=0,IF(H305=0,0,1),ABS(H305)/F305))</f>
        <v/>
      </c>
      <c r="J305" s="18">
        <f>IF($A305="","",IF($E305="A",$E$1,IF($E305="B",$G$1,$I$1)))</f>
        <v/>
      </c>
      <c r="K305">
        <f>IF($A305="","",IF(H305=0,"MATCH",IF(I305&gt;J305,"RECOUNT","WITHIN TOLERANCE")))</f>
        <v/>
      </c>
      <c r="L305" s="5" t="n"/>
      <c r="M305">
        <f>IF(OR($A305="",$L305=""),"",L305-F305)</f>
        <v/>
      </c>
      <c r="N305" s="5" t="n"/>
      <c r="O305" s="5" t="n"/>
    </row>
    <row r="306">
      <c r="A306">
        <f>IF('Blind Count Entry'!A304="","",'Blind Count Entry'!A304)</f>
        <v/>
      </c>
      <c r="B306" s="16">
        <f>IF($A306="","",'Blind Count Entry'!B304)</f>
        <v/>
      </c>
      <c r="C306">
        <f>IF($A306="","",'Blind Count Entry'!C304)</f>
        <v/>
      </c>
      <c r="D306">
        <f>IF($A306="","",'Blind Count Entry'!D304)</f>
        <v/>
      </c>
      <c r="E306">
        <f>IF($A306="","",IFERROR(INDEX('ABC Analysis'!$F:$F,MATCH($C306,'ABC Analysis'!$A:$A,0)),""))</f>
        <v/>
      </c>
      <c r="F306">
        <f>IF($A306="","",IFERROR(INDEX('Master Inventory'!$E:$E,MATCH($C306,'Master Inventory'!$A:$A,0)),0))</f>
        <v/>
      </c>
      <c r="G306">
        <f>IF($A306="","",'Blind Count Entry'!F304)</f>
        <v/>
      </c>
      <c r="H306">
        <f>IF($A306="","",G306-F306)</f>
        <v/>
      </c>
      <c r="I306" s="17">
        <f>IF($A306="","",IF(F306=0,IF(H306=0,0,1),ABS(H306)/F306))</f>
        <v/>
      </c>
      <c r="J306" s="18">
        <f>IF($A306="","",IF($E306="A",$E$1,IF($E306="B",$G$1,$I$1)))</f>
        <v/>
      </c>
      <c r="K306">
        <f>IF($A306="","",IF(H306=0,"MATCH",IF(I306&gt;J306,"RECOUNT","WITHIN TOLERANCE")))</f>
        <v/>
      </c>
      <c r="L306" s="5" t="n"/>
      <c r="M306">
        <f>IF(OR($A306="",$L306=""),"",L306-F306)</f>
        <v/>
      </c>
      <c r="N306" s="5" t="n"/>
      <c r="O306" s="5" t="n"/>
    </row>
    <row r="307">
      <c r="A307">
        <f>IF('Blind Count Entry'!A305="","",'Blind Count Entry'!A305)</f>
        <v/>
      </c>
      <c r="B307" s="16">
        <f>IF($A307="","",'Blind Count Entry'!B305)</f>
        <v/>
      </c>
      <c r="C307">
        <f>IF($A307="","",'Blind Count Entry'!C305)</f>
        <v/>
      </c>
      <c r="D307">
        <f>IF($A307="","",'Blind Count Entry'!D305)</f>
        <v/>
      </c>
      <c r="E307">
        <f>IF($A307="","",IFERROR(INDEX('ABC Analysis'!$F:$F,MATCH($C307,'ABC Analysis'!$A:$A,0)),""))</f>
        <v/>
      </c>
      <c r="F307">
        <f>IF($A307="","",IFERROR(INDEX('Master Inventory'!$E:$E,MATCH($C307,'Master Inventory'!$A:$A,0)),0))</f>
        <v/>
      </c>
      <c r="G307">
        <f>IF($A307="","",'Blind Count Entry'!F305)</f>
        <v/>
      </c>
      <c r="H307">
        <f>IF($A307="","",G307-F307)</f>
        <v/>
      </c>
      <c r="I307" s="17">
        <f>IF($A307="","",IF(F307=0,IF(H307=0,0,1),ABS(H307)/F307))</f>
        <v/>
      </c>
      <c r="J307" s="18">
        <f>IF($A307="","",IF($E307="A",$E$1,IF($E307="B",$G$1,$I$1)))</f>
        <v/>
      </c>
      <c r="K307">
        <f>IF($A307="","",IF(H307=0,"MATCH",IF(I307&gt;J307,"RECOUNT","WITHIN TOLERANCE")))</f>
        <v/>
      </c>
      <c r="L307" s="5" t="n"/>
      <c r="M307">
        <f>IF(OR($A307="",$L307=""),"",L307-F307)</f>
        <v/>
      </c>
      <c r="N307" s="5" t="n"/>
      <c r="O307" s="5" t="n"/>
    </row>
    <row r="308">
      <c r="A308">
        <f>IF('Blind Count Entry'!A306="","",'Blind Count Entry'!A306)</f>
        <v/>
      </c>
      <c r="B308" s="16">
        <f>IF($A308="","",'Blind Count Entry'!B306)</f>
        <v/>
      </c>
      <c r="C308">
        <f>IF($A308="","",'Blind Count Entry'!C306)</f>
        <v/>
      </c>
      <c r="D308">
        <f>IF($A308="","",'Blind Count Entry'!D306)</f>
        <v/>
      </c>
      <c r="E308">
        <f>IF($A308="","",IFERROR(INDEX('ABC Analysis'!$F:$F,MATCH($C308,'ABC Analysis'!$A:$A,0)),""))</f>
        <v/>
      </c>
      <c r="F308">
        <f>IF($A308="","",IFERROR(INDEX('Master Inventory'!$E:$E,MATCH($C308,'Master Inventory'!$A:$A,0)),0))</f>
        <v/>
      </c>
      <c r="G308">
        <f>IF($A308="","",'Blind Count Entry'!F306)</f>
        <v/>
      </c>
      <c r="H308">
        <f>IF($A308="","",G308-F308)</f>
        <v/>
      </c>
      <c r="I308" s="17">
        <f>IF($A308="","",IF(F308=0,IF(H308=0,0,1),ABS(H308)/F308))</f>
        <v/>
      </c>
      <c r="J308" s="18">
        <f>IF($A308="","",IF($E308="A",$E$1,IF($E308="B",$G$1,$I$1)))</f>
        <v/>
      </c>
      <c r="K308">
        <f>IF($A308="","",IF(H308=0,"MATCH",IF(I308&gt;J308,"RECOUNT","WITHIN TOLERANCE")))</f>
        <v/>
      </c>
      <c r="L308" s="5" t="n"/>
      <c r="M308">
        <f>IF(OR($A308="",$L308=""),"",L308-F308)</f>
        <v/>
      </c>
      <c r="N308" s="5" t="n"/>
      <c r="O308" s="5" t="n"/>
    </row>
    <row r="309">
      <c r="A309">
        <f>IF('Blind Count Entry'!A307="","",'Blind Count Entry'!A307)</f>
        <v/>
      </c>
      <c r="B309" s="16">
        <f>IF($A309="","",'Blind Count Entry'!B307)</f>
        <v/>
      </c>
      <c r="C309">
        <f>IF($A309="","",'Blind Count Entry'!C307)</f>
        <v/>
      </c>
      <c r="D309">
        <f>IF($A309="","",'Blind Count Entry'!D307)</f>
        <v/>
      </c>
      <c r="E309">
        <f>IF($A309="","",IFERROR(INDEX('ABC Analysis'!$F:$F,MATCH($C309,'ABC Analysis'!$A:$A,0)),""))</f>
        <v/>
      </c>
      <c r="F309">
        <f>IF($A309="","",IFERROR(INDEX('Master Inventory'!$E:$E,MATCH($C309,'Master Inventory'!$A:$A,0)),0))</f>
        <v/>
      </c>
      <c r="G309">
        <f>IF($A309="","",'Blind Count Entry'!F307)</f>
        <v/>
      </c>
      <c r="H309">
        <f>IF($A309="","",G309-F309)</f>
        <v/>
      </c>
      <c r="I309" s="17">
        <f>IF($A309="","",IF(F309=0,IF(H309=0,0,1),ABS(H309)/F309))</f>
        <v/>
      </c>
      <c r="J309" s="18">
        <f>IF($A309="","",IF($E309="A",$E$1,IF($E309="B",$G$1,$I$1)))</f>
        <v/>
      </c>
      <c r="K309">
        <f>IF($A309="","",IF(H309=0,"MATCH",IF(I309&gt;J309,"RECOUNT","WITHIN TOLERANCE")))</f>
        <v/>
      </c>
      <c r="L309" s="5" t="n"/>
      <c r="M309">
        <f>IF(OR($A309="",$L309=""),"",L309-F309)</f>
        <v/>
      </c>
      <c r="N309" s="5" t="n"/>
      <c r="O309" s="5" t="n"/>
    </row>
    <row r="310">
      <c r="A310">
        <f>IF('Blind Count Entry'!A308="","",'Blind Count Entry'!A308)</f>
        <v/>
      </c>
      <c r="B310" s="16">
        <f>IF($A310="","",'Blind Count Entry'!B308)</f>
        <v/>
      </c>
      <c r="C310">
        <f>IF($A310="","",'Blind Count Entry'!C308)</f>
        <v/>
      </c>
      <c r="D310">
        <f>IF($A310="","",'Blind Count Entry'!D308)</f>
        <v/>
      </c>
      <c r="E310">
        <f>IF($A310="","",IFERROR(INDEX('ABC Analysis'!$F:$F,MATCH($C310,'ABC Analysis'!$A:$A,0)),""))</f>
        <v/>
      </c>
      <c r="F310">
        <f>IF($A310="","",IFERROR(INDEX('Master Inventory'!$E:$E,MATCH($C310,'Master Inventory'!$A:$A,0)),0))</f>
        <v/>
      </c>
      <c r="G310">
        <f>IF($A310="","",'Blind Count Entry'!F308)</f>
        <v/>
      </c>
      <c r="H310">
        <f>IF($A310="","",G310-F310)</f>
        <v/>
      </c>
      <c r="I310" s="17">
        <f>IF($A310="","",IF(F310=0,IF(H310=0,0,1),ABS(H310)/F310))</f>
        <v/>
      </c>
      <c r="J310" s="18">
        <f>IF($A310="","",IF($E310="A",$E$1,IF($E310="B",$G$1,$I$1)))</f>
        <v/>
      </c>
      <c r="K310">
        <f>IF($A310="","",IF(H310=0,"MATCH",IF(I310&gt;J310,"RECOUNT","WITHIN TOLERANCE")))</f>
        <v/>
      </c>
      <c r="L310" s="5" t="n"/>
      <c r="M310">
        <f>IF(OR($A310="",$L310=""),"",L310-F310)</f>
        <v/>
      </c>
      <c r="N310" s="5" t="n"/>
      <c r="O310" s="5" t="n"/>
    </row>
    <row r="311">
      <c r="A311">
        <f>IF('Blind Count Entry'!A309="","",'Blind Count Entry'!A309)</f>
        <v/>
      </c>
      <c r="B311" s="16">
        <f>IF($A311="","",'Blind Count Entry'!B309)</f>
        <v/>
      </c>
      <c r="C311">
        <f>IF($A311="","",'Blind Count Entry'!C309)</f>
        <v/>
      </c>
      <c r="D311">
        <f>IF($A311="","",'Blind Count Entry'!D309)</f>
        <v/>
      </c>
      <c r="E311">
        <f>IF($A311="","",IFERROR(INDEX('ABC Analysis'!$F:$F,MATCH($C311,'ABC Analysis'!$A:$A,0)),""))</f>
        <v/>
      </c>
      <c r="F311">
        <f>IF($A311="","",IFERROR(INDEX('Master Inventory'!$E:$E,MATCH($C311,'Master Inventory'!$A:$A,0)),0))</f>
        <v/>
      </c>
      <c r="G311">
        <f>IF($A311="","",'Blind Count Entry'!F309)</f>
        <v/>
      </c>
      <c r="H311">
        <f>IF($A311="","",G311-F311)</f>
        <v/>
      </c>
      <c r="I311" s="17">
        <f>IF($A311="","",IF(F311=0,IF(H311=0,0,1),ABS(H311)/F311))</f>
        <v/>
      </c>
      <c r="J311" s="18">
        <f>IF($A311="","",IF($E311="A",$E$1,IF($E311="B",$G$1,$I$1)))</f>
        <v/>
      </c>
      <c r="K311">
        <f>IF($A311="","",IF(H311=0,"MATCH",IF(I311&gt;J311,"RECOUNT","WITHIN TOLERANCE")))</f>
        <v/>
      </c>
      <c r="L311" s="5" t="n"/>
      <c r="M311">
        <f>IF(OR($A311="",$L311=""),"",L311-F311)</f>
        <v/>
      </c>
      <c r="N311" s="5" t="n"/>
      <c r="O311" s="5" t="n"/>
    </row>
    <row r="312">
      <c r="A312">
        <f>IF('Blind Count Entry'!A310="","",'Blind Count Entry'!A310)</f>
        <v/>
      </c>
      <c r="B312" s="16">
        <f>IF($A312="","",'Blind Count Entry'!B310)</f>
        <v/>
      </c>
      <c r="C312">
        <f>IF($A312="","",'Blind Count Entry'!C310)</f>
        <v/>
      </c>
      <c r="D312">
        <f>IF($A312="","",'Blind Count Entry'!D310)</f>
        <v/>
      </c>
      <c r="E312">
        <f>IF($A312="","",IFERROR(INDEX('ABC Analysis'!$F:$F,MATCH($C312,'ABC Analysis'!$A:$A,0)),""))</f>
        <v/>
      </c>
      <c r="F312">
        <f>IF($A312="","",IFERROR(INDEX('Master Inventory'!$E:$E,MATCH($C312,'Master Inventory'!$A:$A,0)),0))</f>
        <v/>
      </c>
      <c r="G312">
        <f>IF($A312="","",'Blind Count Entry'!F310)</f>
        <v/>
      </c>
      <c r="H312">
        <f>IF($A312="","",G312-F312)</f>
        <v/>
      </c>
      <c r="I312" s="17">
        <f>IF($A312="","",IF(F312=0,IF(H312=0,0,1),ABS(H312)/F312))</f>
        <v/>
      </c>
      <c r="J312" s="18">
        <f>IF($A312="","",IF($E312="A",$E$1,IF($E312="B",$G$1,$I$1)))</f>
        <v/>
      </c>
      <c r="K312">
        <f>IF($A312="","",IF(H312=0,"MATCH",IF(I312&gt;J312,"RECOUNT","WITHIN TOLERANCE")))</f>
        <v/>
      </c>
      <c r="L312" s="5" t="n"/>
      <c r="M312">
        <f>IF(OR($A312="",$L312=""),"",L312-F312)</f>
        <v/>
      </c>
      <c r="N312" s="5" t="n"/>
      <c r="O312" s="5" t="n"/>
    </row>
    <row r="313">
      <c r="A313">
        <f>IF('Blind Count Entry'!A311="","",'Blind Count Entry'!A311)</f>
        <v/>
      </c>
      <c r="B313" s="16">
        <f>IF($A313="","",'Blind Count Entry'!B311)</f>
        <v/>
      </c>
      <c r="C313">
        <f>IF($A313="","",'Blind Count Entry'!C311)</f>
        <v/>
      </c>
      <c r="D313">
        <f>IF($A313="","",'Blind Count Entry'!D311)</f>
        <v/>
      </c>
      <c r="E313">
        <f>IF($A313="","",IFERROR(INDEX('ABC Analysis'!$F:$F,MATCH($C313,'ABC Analysis'!$A:$A,0)),""))</f>
        <v/>
      </c>
      <c r="F313">
        <f>IF($A313="","",IFERROR(INDEX('Master Inventory'!$E:$E,MATCH($C313,'Master Inventory'!$A:$A,0)),0))</f>
        <v/>
      </c>
      <c r="G313">
        <f>IF($A313="","",'Blind Count Entry'!F311)</f>
        <v/>
      </c>
      <c r="H313">
        <f>IF($A313="","",G313-F313)</f>
        <v/>
      </c>
      <c r="I313" s="17">
        <f>IF($A313="","",IF(F313=0,IF(H313=0,0,1),ABS(H313)/F313))</f>
        <v/>
      </c>
      <c r="J313" s="18">
        <f>IF($A313="","",IF($E313="A",$E$1,IF($E313="B",$G$1,$I$1)))</f>
        <v/>
      </c>
      <c r="K313">
        <f>IF($A313="","",IF(H313=0,"MATCH",IF(I313&gt;J313,"RECOUNT","WITHIN TOLERANCE")))</f>
        <v/>
      </c>
      <c r="L313" s="5" t="n"/>
      <c r="M313">
        <f>IF(OR($A313="",$L313=""),"",L313-F313)</f>
        <v/>
      </c>
      <c r="N313" s="5" t="n"/>
      <c r="O313" s="5" t="n"/>
    </row>
    <row r="314">
      <c r="A314">
        <f>IF('Blind Count Entry'!A312="","",'Blind Count Entry'!A312)</f>
        <v/>
      </c>
      <c r="B314" s="16">
        <f>IF($A314="","",'Blind Count Entry'!B312)</f>
        <v/>
      </c>
      <c r="C314">
        <f>IF($A314="","",'Blind Count Entry'!C312)</f>
        <v/>
      </c>
      <c r="D314">
        <f>IF($A314="","",'Blind Count Entry'!D312)</f>
        <v/>
      </c>
      <c r="E314">
        <f>IF($A314="","",IFERROR(INDEX('ABC Analysis'!$F:$F,MATCH($C314,'ABC Analysis'!$A:$A,0)),""))</f>
        <v/>
      </c>
      <c r="F314">
        <f>IF($A314="","",IFERROR(INDEX('Master Inventory'!$E:$E,MATCH($C314,'Master Inventory'!$A:$A,0)),0))</f>
        <v/>
      </c>
      <c r="G314">
        <f>IF($A314="","",'Blind Count Entry'!F312)</f>
        <v/>
      </c>
      <c r="H314">
        <f>IF($A314="","",G314-F314)</f>
        <v/>
      </c>
      <c r="I314" s="17">
        <f>IF($A314="","",IF(F314=0,IF(H314=0,0,1),ABS(H314)/F314))</f>
        <v/>
      </c>
      <c r="J314" s="18">
        <f>IF($A314="","",IF($E314="A",$E$1,IF($E314="B",$G$1,$I$1)))</f>
        <v/>
      </c>
      <c r="K314">
        <f>IF($A314="","",IF(H314=0,"MATCH",IF(I314&gt;J314,"RECOUNT","WITHIN TOLERANCE")))</f>
        <v/>
      </c>
      <c r="L314" s="5" t="n"/>
      <c r="M314">
        <f>IF(OR($A314="",$L314=""),"",L314-F314)</f>
        <v/>
      </c>
      <c r="N314" s="5" t="n"/>
      <c r="O314" s="5" t="n"/>
    </row>
    <row r="315">
      <c r="A315">
        <f>IF('Blind Count Entry'!A313="","",'Blind Count Entry'!A313)</f>
        <v/>
      </c>
      <c r="B315" s="16">
        <f>IF($A315="","",'Blind Count Entry'!B313)</f>
        <v/>
      </c>
      <c r="C315">
        <f>IF($A315="","",'Blind Count Entry'!C313)</f>
        <v/>
      </c>
      <c r="D315">
        <f>IF($A315="","",'Blind Count Entry'!D313)</f>
        <v/>
      </c>
      <c r="E315">
        <f>IF($A315="","",IFERROR(INDEX('ABC Analysis'!$F:$F,MATCH($C315,'ABC Analysis'!$A:$A,0)),""))</f>
        <v/>
      </c>
      <c r="F315">
        <f>IF($A315="","",IFERROR(INDEX('Master Inventory'!$E:$E,MATCH($C315,'Master Inventory'!$A:$A,0)),0))</f>
        <v/>
      </c>
      <c r="G315">
        <f>IF($A315="","",'Blind Count Entry'!F313)</f>
        <v/>
      </c>
      <c r="H315">
        <f>IF($A315="","",G315-F315)</f>
        <v/>
      </c>
      <c r="I315" s="17">
        <f>IF($A315="","",IF(F315=0,IF(H315=0,0,1),ABS(H315)/F315))</f>
        <v/>
      </c>
      <c r="J315" s="18">
        <f>IF($A315="","",IF($E315="A",$E$1,IF($E315="B",$G$1,$I$1)))</f>
        <v/>
      </c>
      <c r="K315">
        <f>IF($A315="","",IF(H315=0,"MATCH",IF(I315&gt;J315,"RECOUNT","WITHIN TOLERANCE")))</f>
        <v/>
      </c>
      <c r="L315" s="5" t="n"/>
      <c r="M315">
        <f>IF(OR($A315="",$L315=""),"",L315-F315)</f>
        <v/>
      </c>
      <c r="N315" s="5" t="n"/>
      <c r="O315" s="5" t="n"/>
    </row>
    <row r="316">
      <c r="A316">
        <f>IF('Blind Count Entry'!A314="","",'Blind Count Entry'!A314)</f>
        <v/>
      </c>
      <c r="B316" s="16">
        <f>IF($A316="","",'Blind Count Entry'!B314)</f>
        <v/>
      </c>
      <c r="C316">
        <f>IF($A316="","",'Blind Count Entry'!C314)</f>
        <v/>
      </c>
      <c r="D316">
        <f>IF($A316="","",'Blind Count Entry'!D314)</f>
        <v/>
      </c>
      <c r="E316">
        <f>IF($A316="","",IFERROR(INDEX('ABC Analysis'!$F:$F,MATCH($C316,'ABC Analysis'!$A:$A,0)),""))</f>
        <v/>
      </c>
      <c r="F316">
        <f>IF($A316="","",IFERROR(INDEX('Master Inventory'!$E:$E,MATCH($C316,'Master Inventory'!$A:$A,0)),0))</f>
        <v/>
      </c>
      <c r="G316">
        <f>IF($A316="","",'Blind Count Entry'!F314)</f>
        <v/>
      </c>
      <c r="H316">
        <f>IF($A316="","",G316-F316)</f>
        <v/>
      </c>
      <c r="I316" s="17">
        <f>IF($A316="","",IF(F316=0,IF(H316=0,0,1),ABS(H316)/F316))</f>
        <v/>
      </c>
      <c r="J316" s="18">
        <f>IF($A316="","",IF($E316="A",$E$1,IF($E316="B",$G$1,$I$1)))</f>
        <v/>
      </c>
      <c r="K316">
        <f>IF($A316="","",IF(H316=0,"MATCH",IF(I316&gt;J316,"RECOUNT","WITHIN TOLERANCE")))</f>
        <v/>
      </c>
      <c r="L316" s="5" t="n"/>
      <c r="M316">
        <f>IF(OR($A316="",$L316=""),"",L316-F316)</f>
        <v/>
      </c>
      <c r="N316" s="5" t="n"/>
      <c r="O316" s="5" t="n"/>
    </row>
    <row r="317">
      <c r="A317">
        <f>IF('Blind Count Entry'!A315="","",'Blind Count Entry'!A315)</f>
        <v/>
      </c>
      <c r="B317" s="16">
        <f>IF($A317="","",'Blind Count Entry'!B315)</f>
        <v/>
      </c>
      <c r="C317">
        <f>IF($A317="","",'Blind Count Entry'!C315)</f>
        <v/>
      </c>
      <c r="D317">
        <f>IF($A317="","",'Blind Count Entry'!D315)</f>
        <v/>
      </c>
      <c r="E317">
        <f>IF($A317="","",IFERROR(INDEX('ABC Analysis'!$F:$F,MATCH($C317,'ABC Analysis'!$A:$A,0)),""))</f>
        <v/>
      </c>
      <c r="F317">
        <f>IF($A317="","",IFERROR(INDEX('Master Inventory'!$E:$E,MATCH($C317,'Master Inventory'!$A:$A,0)),0))</f>
        <v/>
      </c>
      <c r="G317">
        <f>IF($A317="","",'Blind Count Entry'!F315)</f>
        <v/>
      </c>
      <c r="H317">
        <f>IF($A317="","",G317-F317)</f>
        <v/>
      </c>
      <c r="I317" s="17">
        <f>IF($A317="","",IF(F317=0,IF(H317=0,0,1),ABS(H317)/F317))</f>
        <v/>
      </c>
      <c r="J317" s="18">
        <f>IF($A317="","",IF($E317="A",$E$1,IF($E317="B",$G$1,$I$1)))</f>
        <v/>
      </c>
      <c r="K317">
        <f>IF($A317="","",IF(H317=0,"MATCH",IF(I317&gt;J317,"RECOUNT","WITHIN TOLERANCE")))</f>
        <v/>
      </c>
      <c r="L317" s="5" t="n"/>
      <c r="M317">
        <f>IF(OR($A317="",$L317=""),"",L317-F317)</f>
        <v/>
      </c>
      <c r="N317" s="5" t="n"/>
      <c r="O317" s="5" t="n"/>
    </row>
    <row r="318">
      <c r="A318">
        <f>IF('Blind Count Entry'!A316="","",'Blind Count Entry'!A316)</f>
        <v/>
      </c>
      <c r="B318" s="16">
        <f>IF($A318="","",'Blind Count Entry'!B316)</f>
        <v/>
      </c>
      <c r="C318">
        <f>IF($A318="","",'Blind Count Entry'!C316)</f>
        <v/>
      </c>
      <c r="D318">
        <f>IF($A318="","",'Blind Count Entry'!D316)</f>
        <v/>
      </c>
      <c r="E318">
        <f>IF($A318="","",IFERROR(INDEX('ABC Analysis'!$F:$F,MATCH($C318,'ABC Analysis'!$A:$A,0)),""))</f>
        <v/>
      </c>
      <c r="F318">
        <f>IF($A318="","",IFERROR(INDEX('Master Inventory'!$E:$E,MATCH($C318,'Master Inventory'!$A:$A,0)),0))</f>
        <v/>
      </c>
      <c r="G318">
        <f>IF($A318="","",'Blind Count Entry'!F316)</f>
        <v/>
      </c>
      <c r="H318">
        <f>IF($A318="","",G318-F318)</f>
        <v/>
      </c>
      <c r="I318" s="17">
        <f>IF($A318="","",IF(F318=0,IF(H318=0,0,1),ABS(H318)/F318))</f>
        <v/>
      </c>
      <c r="J318" s="18">
        <f>IF($A318="","",IF($E318="A",$E$1,IF($E318="B",$G$1,$I$1)))</f>
        <v/>
      </c>
      <c r="K318">
        <f>IF($A318="","",IF(H318=0,"MATCH",IF(I318&gt;J318,"RECOUNT","WITHIN TOLERANCE")))</f>
        <v/>
      </c>
      <c r="L318" s="5" t="n"/>
      <c r="M318">
        <f>IF(OR($A318="",$L318=""),"",L318-F318)</f>
        <v/>
      </c>
      <c r="N318" s="5" t="n"/>
      <c r="O318" s="5" t="n"/>
    </row>
    <row r="319">
      <c r="A319">
        <f>IF('Blind Count Entry'!A317="","",'Blind Count Entry'!A317)</f>
        <v/>
      </c>
      <c r="B319" s="16">
        <f>IF($A319="","",'Blind Count Entry'!B317)</f>
        <v/>
      </c>
      <c r="C319">
        <f>IF($A319="","",'Blind Count Entry'!C317)</f>
        <v/>
      </c>
      <c r="D319">
        <f>IF($A319="","",'Blind Count Entry'!D317)</f>
        <v/>
      </c>
      <c r="E319">
        <f>IF($A319="","",IFERROR(INDEX('ABC Analysis'!$F:$F,MATCH($C319,'ABC Analysis'!$A:$A,0)),""))</f>
        <v/>
      </c>
      <c r="F319">
        <f>IF($A319="","",IFERROR(INDEX('Master Inventory'!$E:$E,MATCH($C319,'Master Inventory'!$A:$A,0)),0))</f>
        <v/>
      </c>
      <c r="G319">
        <f>IF($A319="","",'Blind Count Entry'!F317)</f>
        <v/>
      </c>
      <c r="H319">
        <f>IF($A319="","",G319-F319)</f>
        <v/>
      </c>
      <c r="I319" s="17">
        <f>IF($A319="","",IF(F319=0,IF(H319=0,0,1),ABS(H319)/F319))</f>
        <v/>
      </c>
      <c r="J319" s="18">
        <f>IF($A319="","",IF($E319="A",$E$1,IF($E319="B",$G$1,$I$1)))</f>
        <v/>
      </c>
      <c r="K319">
        <f>IF($A319="","",IF(H319=0,"MATCH",IF(I319&gt;J319,"RECOUNT","WITHIN TOLERANCE")))</f>
        <v/>
      </c>
      <c r="L319" s="5" t="n"/>
      <c r="M319">
        <f>IF(OR($A319="",$L319=""),"",L319-F319)</f>
        <v/>
      </c>
      <c r="N319" s="5" t="n"/>
      <c r="O319" s="5" t="n"/>
    </row>
    <row r="320">
      <c r="A320">
        <f>IF('Blind Count Entry'!A318="","",'Blind Count Entry'!A318)</f>
        <v/>
      </c>
      <c r="B320" s="16">
        <f>IF($A320="","",'Blind Count Entry'!B318)</f>
        <v/>
      </c>
      <c r="C320">
        <f>IF($A320="","",'Blind Count Entry'!C318)</f>
        <v/>
      </c>
      <c r="D320">
        <f>IF($A320="","",'Blind Count Entry'!D318)</f>
        <v/>
      </c>
      <c r="E320">
        <f>IF($A320="","",IFERROR(INDEX('ABC Analysis'!$F:$F,MATCH($C320,'ABC Analysis'!$A:$A,0)),""))</f>
        <v/>
      </c>
      <c r="F320">
        <f>IF($A320="","",IFERROR(INDEX('Master Inventory'!$E:$E,MATCH($C320,'Master Inventory'!$A:$A,0)),0))</f>
        <v/>
      </c>
      <c r="G320">
        <f>IF($A320="","",'Blind Count Entry'!F318)</f>
        <v/>
      </c>
      <c r="H320">
        <f>IF($A320="","",G320-F320)</f>
        <v/>
      </c>
      <c r="I320" s="17">
        <f>IF($A320="","",IF(F320=0,IF(H320=0,0,1),ABS(H320)/F320))</f>
        <v/>
      </c>
      <c r="J320" s="18">
        <f>IF($A320="","",IF($E320="A",$E$1,IF($E320="B",$G$1,$I$1)))</f>
        <v/>
      </c>
      <c r="K320">
        <f>IF($A320="","",IF(H320=0,"MATCH",IF(I320&gt;J320,"RECOUNT","WITHIN TOLERANCE")))</f>
        <v/>
      </c>
      <c r="L320" s="5" t="n"/>
      <c r="M320">
        <f>IF(OR($A320="",$L320=""),"",L320-F320)</f>
        <v/>
      </c>
      <c r="N320" s="5" t="n"/>
      <c r="O320" s="5" t="n"/>
    </row>
    <row r="321">
      <c r="A321">
        <f>IF('Blind Count Entry'!A319="","",'Blind Count Entry'!A319)</f>
        <v/>
      </c>
      <c r="B321" s="16">
        <f>IF($A321="","",'Blind Count Entry'!B319)</f>
        <v/>
      </c>
      <c r="C321">
        <f>IF($A321="","",'Blind Count Entry'!C319)</f>
        <v/>
      </c>
      <c r="D321">
        <f>IF($A321="","",'Blind Count Entry'!D319)</f>
        <v/>
      </c>
      <c r="E321">
        <f>IF($A321="","",IFERROR(INDEX('ABC Analysis'!$F:$F,MATCH($C321,'ABC Analysis'!$A:$A,0)),""))</f>
        <v/>
      </c>
      <c r="F321">
        <f>IF($A321="","",IFERROR(INDEX('Master Inventory'!$E:$E,MATCH($C321,'Master Inventory'!$A:$A,0)),0))</f>
        <v/>
      </c>
      <c r="G321">
        <f>IF($A321="","",'Blind Count Entry'!F319)</f>
        <v/>
      </c>
      <c r="H321">
        <f>IF($A321="","",G321-F321)</f>
        <v/>
      </c>
      <c r="I321" s="17">
        <f>IF($A321="","",IF(F321=0,IF(H321=0,0,1),ABS(H321)/F321))</f>
        <v/>
      </c>
      <c r="J321" s="18">
        <f>IF($A321="","",IF($E321="A",$E$1,IF($E321="B",$G$1,$I$1)))</f>
        <v/>
      </c>
      <c r="K321">
        <f>IF($A321="","",IF(H321=0,"MATCH",IF(I321&gt;J321,"RECOUNT","WITHIN TOLERANCE")))</f>
        <v/>
      </c>
      <c r="L321" s="5" t="n"/>
      <c r="M321">
        <f>IF(OR($A321="",$L321=""),"",L321-F321)</f>
        <v/>
      </c>
      <c r="N321" s="5" t="n"/>
      <c r="O321" s="5" t="n"/>
    </row>
    <row r="322">
      <c r="A322">
        <f>IF('Blind Count Entry'!A320="","",'Blind Count Entry'!A320)</f>
        <v/>
      </c>
      <c r="B322" s="16">
        <f>IF($A322="","",'Blind Count Entry'!B320)</f>
        <v/>
      </c>
      <c r="C322">
        <f>IF($A322="","",'Blind Count Entry'!C320)</f>
        <v/>
      </c>
      <c r="D322">
        <f>IF($A322="","",'Blind Count Entry'!D320)</f>
        <v/>
      </c>
      <c r="E322">
        <f>IF($A322="","",IFERROR(INDEX('ABC Analysis'!$F:$F,MATCH($C322,'ABC Analysis'!$A:$A,0)),""))</f>
        <v/>
      </c>
      <c r="F322">
        <f>IF($A322="","",IFERROR(INDEX('Master Inventory'!$E:$E,MATCH($C322,'Master Inventory'!$A:$A,0)),0))</f>
        <v/>
      </c>
      <c r="G322">
        <f>IF($A322="","",'Blind Count Entry'!F320)</f>
        <v/>
      </c>
      <c r="H322">
        <f>IF($A322="","",G322-F322)</f>
        <v/>
      </c>
      <c r="I322" s="17">
        <f>IF($A322="","",IF(F322=0,IF(H322=0,0,1),ABS(H322)/F322))</f>
        <v/>
      </c>
      <c r="J322" s="18">
        <f>IF($A322="","",IF($E322="A",$E$1,IF($E322="B",$G$1,$I$1)))</f>
        <v/>
      </c>
      <c r="K322">
        <f>IF($A322="","",IF(H322=0,"MATCH",IF(I322&gt;J322,"RECOUNT","WITHIN TOLERANCE")))</f>
        <v/>
      </c>
      <c r="L322" s="5" t="n"/>
      <c r="M322">
        <f>IF(OR($A322="",$L322=""),"",L322-F322)</f>
        <v/>
      </c>
      <c r="N322" s="5" t="n"/>
      <c r="O322" s="5" t="n"/>
    </row>
    <row r="323">
      <c r="A323">
        <f>IF('Blind Count Entry'!A321="","",'Blind Count Entry'!A321)</f>
        <v/>
      </c>
      <c r="B323" s="16">
        <f>IF($A323="","",'Blind Count Entry'!B321)</f>
        <v/>
      </c>
      <c r="C323">
        <f>IF($A323="","",'Blind Count Entry'!C321)</f>
        <v/>
      </c>
      <c r="D323">
        <f>IF($A323="","",'Blind Count Entry'!D321)</f>
        <v/>
      </c>
      <c r="E323">
        <f>IF($A323="","",IFERROR(INDEX('ABC Analysis'!$F:$F,MATCH($C323,'ABC Analysis'!$A:$A,0)),""))</f>
        <v/>
      </c>
      <c r="F323">
        <f>IF($A323="","",IFERROR(INDEX('Master Inventory'!$E:$E,MATCH($C323,'Master Inventory'!$A:$A,0)),0))</f>
        <v/>
      </c>
      <c r="G323">
        <f>IF($A323="","",'Blind Count Entry'!F321)</f>
        <v/>
      </c>
      <c r="H323">
        <f>IF($A323="","",G323-F323)</f>
        <v/>
      </c>
      <c r="I323" s="17">
        <f>IF($A323="","",IF(F323=0,IF(H323=0,0,1),ABS(H323)/F323))</f>
        <v/>
      </c>
      <c r="J323" s="18">
        <f>IF($A323="","",IF($E323="A",$E$1,IF($E323="B",$G$1,$I$1)))</f>
        <v/>
      </c>
      <c r="K323">
        <f>IF($A323="","",IF(H323=0,"MATCH",IF(I323&gt;J323,"RECOUNT","WITHIN TOLERANCE")))</f>
        <v/>
      </c>
      <c r="L323" s="5" t="n"/>
      <c r="M323">
        <f>IF(OR($A323="",$L323=""),"",L323-F323)</f>
        <v/>
      </c>
      <c r="N323" s="5" t="n"/>
      <c r="O323" s="5" t="n"/>
    </row>
    <row r="324">
      <c r="A324">
        <f>IF('Blind Count Entry'!A322="","",'Blind Count Entry'!A322)</f>
        <v/>
      </c>
      <c r="B324" s="16">
        <f>IF($A324="","",'Blind Count Entry'!B322)</f>
        <v/>
      </c>
      <c r="C324">
        <f>IF($A324="","",'Blind Count Entry'!C322)</f>
        <v/>
      </c>
      <c r="D324">
        <f>IF($A324="","",'Blind Count Entry'!D322)</f>
        <v/>
      </c>
      <c r="E324">
        <f>IF($A324="","",IFERROR(INDEX('ABC Analysis'!$F:$F,MATCH($C324,'ABC Analysis'!$A:$A,0)),""))</f>
        <v/>
      </c>
      <c r="F324">
        <f>IF($A324="","",IFERROR(INDEX('Master Inventory'!$E:$E,MATCH($C324,'Master Inventory'!$A:$A,0)),0))</f>
        <v/>
      </c>
      <c r="G324">
        <f>IF($A324="","",'Blind Count Entry'!F322)</f>
        <v/>
      </c>
      <c r="H324">
        <f>IF($A324="","",G324-F324)</f>
        <v/>
      </c>
      <c r="I324" s="17">
        <f>IF($A324="","",IF(F324=0,IF(H324=0,0,1),ABS(H324)/F324))</f>
        <v/>
      </c>
      <c r="J324" s="18">
        <f>IF($A324="","",IF($E324="A",$E$1,IF($E324="B",$G$1,$I$1)))</f>
        <v/>
      </c>
      <c r="K324">
        <f>IF($A324="","",IF(H324=0,"MATCH",IF(I324&gt;J324,"RECOUNT","WITHIN TOLERANCE")))</f>
        <v/>
      </c>
      <c r="L324" s="5" t="n"/>
      <c r="M324">
        <f>IF(OR($A324="",$L324=""),"",L324-F324)</f>
        <v/>
      </c>
      <c r="N324" s="5" t="n"/>
      <c r="O324" s="5" t="n"/>
    </row>
    <row r="325">
      <c r="A325">
        <f>IF('Blind Count Entry'!A323="","",'Blind Count Entry'!A323)</f>
        <v/>
      </c>
      <c r="B325" s="16">
        <f>IF($A325="","",'Blind Count Entry'!B323)</f>
        <v/>
      </c>
      <c r="C325">
        <f>IF($A325="","",'Blind Count Entry'!C323)</f>
        <v/>
      </c>
      <c r="D325">
        <f>IF($A325="","",'Blind Count Entry'!D323)</f>
        <v/>
      </c>
      <c r="E325">
        <f>IF($A325="","",IFERROR(INDEX('ABC Analysis'!$F:$F,MATCH($C325,'ABC Analysis'!$A:$A,0)),""))</f>
        <v/>
      </c>
      <c r="F325">
        <f>IF($A325="","",IFERROR(INDEX('Master Inventory'!$E:$E,MATCH($C325,'Master Inventory'!$A:$A,0)),0))</f>
        <v/>
      </c>
      <c r="G325">
        <f>IF($A325="","",'Blind Count Entry'!F323)</f>
        <v/>
      </c>
      <c r="H325">
        <f>IF($A325="","",G325-F325)</f>
        <v/>
      </c>
      <c r="I325" s="17">
        <f>IF($A325="","",IF(F325=0,IF(H325=0,0,1),ABS(H325)/F325))</f>
        <v/>
      </c>
      <c r="J325" s="18">
        <f>IF($A325="","",IF($E325="A",$E$1,IF($E325="B",$G$1,$I$1)))</f>
        <v/>
      </c>
      <c r="K325">
        <f>IF($A325="","",IF(H325=0,"MATCH",IF(I325&gt;J325,"RECOUNT","WITHIN TOLERANCE")))</f>
        <v/>
      </c>
      <c r="L325" s="5" t="n"/>
      <c r="M325">
        <f>IF(OR($A325="",$L325=""),"",L325-F325)</f>
        <v/>
      </c>
      <c r="N325" s="5" t="n"/>
      <c r="O325" s="5" t="n"/>
    </row>
    <row r="326">
      <c r="A326">
        <f>IF('Blind Count Entry'!A324="","",'Blind Count Entry'!A324)</f>
        <v/>
      </c>
      <c r="B326" s="16">
        <f>IF($A326="","",'Blind Count Entry'!B324)</f>
        <v/>
      </c>
      <c r="C326">
        <f>IF($A326="","",'Blind Count Entry'!C324)</f>
        <v/>
      </c>
      <c r="D326">
        <f>IF($A326="","",'Blind Count Entry'!D324)</f>
        <v/>
      </c>
      <c r="E326">
        <f>IF($A326="","",IFERROR(INDEX('ABC Analysis'!$F:$F,MATCH($C326,'ABC Analysis'!$A:$A,0)),""))</f>
        <v/>
      </c>
      <c r="F326">
        <f>IF($A326="","",IFERROR(INDEX('Master Inventory'!$E:$E,MATCH($C326,'Master Inventory'!$A:$A,0)),0))</f>
        <v/>
      </c>
      <c r="G326">
        <f>IF($A326="","",'Blind Count Entry'!F324)</f>
        <v/>
      </c>
      <c r="H326">
        <f>IF($A326="","",G326-F326)</f>
        <v/>
      </c>
      <c r="I326" s="17">
        <f>IF($A326="","",IF(F326=0,IF(H326=0,0,1),ABS(H326)/F326))</f>
        <v/>
      </c>
      <c r="J326" s="18">
        <f>IF($A326="","",IF($E326="A",$E$1,IF($E326="B",$G$1,$I$1)))</f>
        <v/>
      </c>
      <c r="K326">
        <f>IF($A326="","",IF(H326=0,"MATCH",IF(I326&gt;J326,"RECOUNT","WITHIN TOLERANCE")))</f>
        <v/>
      </c>
      <c r="L326" s="5" t="n"/>
      <c r="M326">
        <f>IF(OR($A326="",$L326=""),"",L326-F326)</f>
        <v/>
      </c>
      <c r="N326" s="5" t="n"/>
      <c r="O326" s="5" t="n"/>
    </row>
    <row r="327">
      <c r="A327">
        <f>IF('Blind Count Entry'!A325="","",'Blind Count Entry'!A325)</f>
        <v/>
      </c>
      <c r="B327" s="16">
        <f>IF($A327="","",'Blind Count Entry'!B325)</f>
        <v/>
      </c>
      <c r="C327">
        <f>IF($A327="","",'Blind Count Entry'!C325)</f>
        <v/>
      </c>
      <c r="D327">
        <f>IF($A327="","",'Blind Count Entry'!D325)</f>
        <v/>
      </c>
      <c r="E327">
        <f>IF($A327="","",IFERROR(INDEX('ABC Analysis'!$F:$F,MATCH($C327,'ABC Analysis'!$A:$A,0)),""))</f>
        <v/>
      </c>
      <c r="F327">
        <f>IF($A327="","",IFERROR(INDEX('Master Inventory'!$E:$E,MATCH($C327,'Master Inventory'!$A:$A,0)),0))</f>
        <v/>
      </c>
      <c r="G327">
        <f>IF($A327="","",'Blind Count Entry'!F325)</f>
        <v/>
      </c>
      <c r="H327">
        <f>IF($A327="","",G327-F327)</f>
        <v/>
      </c>
      <c r="I327" s="17">
        <f>IF($A327="","",IF(F327=0,IF(H327=0,0,1),ABS(H327)/F327))</f>
        <v/>
      </c>
      <c r="J327" s="18">
        <f>IF($A327="","",IF($E327="A",$E$1,IF($E327="B",$G$1,$I$1)))</f>
        <v/>
      </c>
      <c r="K327">
        <f>IF($A327="","",IF(H327=0,"MATCH",IF(I327&gt;J327,"RECOUNT","WITHIN TOLERANCE")))</f>
        <v/>
      </c>
      <c r="L327" s="5" t="n"/>
      <c r="M327">
        <f>IF(OR($A327="",$L327=""),"",L327-F327)</f>
        <v/>
      </c>
      <c r="N327" s="5" t="n"/>
      <c r="O327" s="5" t="n"/>
    </row>
    <row r="328">
      <c r="A328">
        <f>IF('Blind Count Entry'!A326="","",'Blind Count Entry'!A326)</f>
        <v/>
      </c>
      <c r="B328" s="16">
        <f>IF($A328="","",'Blind Count Entry'!B326)</f>
        <v/>
      </c>
      <c r="C328">
        <f>IF($A328="","",'Blind Count Entry'!C326)</f>
        <v/>
      </c>
      <c r="D328">
        <f>IF($A328="","",'Blind Count Entry'!D326)</f>
        <v/>
      </c>
      <c r="E328">
        <f>IF($A328="","",IFERROR(INDEX('ABC Analysis'!$F:$F,MATCH($C328,'ABC Analysis'!$A:$A,0)),""))</f>
        <v/>
      </c>
      <c r="F328">
        <f>IF($A328="","",IFERROR(INDEX('Master Inventory'!$E:$E,MATCH($C328,'Master Inventory'!$A:$A,0)),0))</f>
        <v/>
      </c>
      <c r="G328">
        <f>IF($A328="","",'Blind Count Entry'!F326)</f>
        <v/>
      </c>
      <c r="H328">
        <f>IF($A328="","",G328-F328)</f>
        <v/>
      </c>
      <c r="I328" s="17">
        <f>IF($A328="","",IF(F328=0,IF(H328=0,0,1),ABS(H328)/F328))</f>
        <v/>
      </c>
      <c r="J328" s="18">
        <f>IF($A328="","",IF($E328="A",$E$1,IF($E328="B",$G$1,$I$1)))</f>
        <v/>
      </c>
      <c r="K328">
        <f>IF($A328="","",IF(H328=0,"MATCH",IF(I328&gt;J328,"RECOUNT","WITHIN TOLERANCE")))</f>
        <v/>
      </c>
      <c r="L328" s="5" t="n"/>
      <c r="M328">
        <f>IF(OR($A328="",$L328=""),"",L328-F328)</f>
        <v/>
      </c>
      <c r="N328" s="5" t="n"/>
      <c r="O328" s="5" t="n"/>
    </row>
    <row r="329">
      <c r="A329">
        <f>IF('Blind Count Entry'!A327="","",'Blind Count Entry'!A327)</f>
        <v/>
      </c>
      <c r="B329" s="16">
        <f>IF($A329="","",'Blind Count Entry'!B327)</f>
        <v/>
      </c>
      <c r="C329">
        <f>IF($A329="","",'Blind Count Entry'!C327)</f>
        <v/>
      </c>
      <c r="D329">
        <f>IF($A329="","",'Blind Count Entry'!D327)</f>
        <v/>
      </c>
      <c r="E329">
        <f>IF($A329="","",IFERROR(INDEX('ABC Analysis'!$F:$F,MATCH($C329,'ABC Analysis'!$A:$A,0)),""))</f>
        <v/>
      </c>
      <c r="F329">
        <f>IF($A329="","",IFERROR(INDEX('Master Inventory'!$E:$E,MATCH($C329,'Master Inventory'!$A:$A,0)),0))</f>
        <v/>
      </c>
      <c r="G329">
        <f>IF($A329="","",'Blind Count Entry'!F327)</f>
        <v/>
      </c>
      <c r="H329">
        <f>IF($A329="","",G329-F329)</f>
        <v/>
      </c>
      <c r="I329" s="17">
        <f>IF($A329="","",IF(F329=0,IF(H329=0,0,1),ABS(H329)/F329))</f>
        <v/>
      </c>
      <c r="J329" s="18">
        <f>IF($A329="","",IF($E329="A",$E$1,IF($E329="B",$G$1,$I$1)))</f>
        <v/>
      </c>
      <c r="K329">
        <f>IF($A329="","",IF(H329=0,"MATCH",IF(I329&gt;J329,"RECOUNT","WITHIN TOLERANCE")))</f>
        <v/>
      </c>
      <c r="L329" s="5" t="n"/>
      <c r="M329">
        <f>IF(OR($A329="",$L329=""),"",L329-F329)</f>
        <v/>
      </c>
      <c r="N329" s="5" t="n"/>
      <c r="O329" s="5" t="n"/>
    </row>
    <row r="330">
      <c r="A330">
        <f>IF('Blind Count Entry'!A328="","",'Blind Count Entry'!A328)</f>
        <v/>
      </c>
      <c r="B330" s="16">
        <f>IF($A330="","",'Blind Count Entry'!B328)</f>
        <v/>
      </c>
      <c r="C330">
        <f>IF($A330="","",'Blind Count Entry'!C328)</f>
        <v/>
      </c>
      <c r="D330">
        <f>IF($A330="","",'Blind Count Entry'!D328)</f>
        <v/>
      </c>
      <c r="E330">
        <f>IF($A330="","",IFERROR(INDEX('ABC Analysis'!$F:$F,MATCH($C330,'ABC Analysis'!$A:$A,0)),""))</f>
        <v/>
      </c>
      <c r="F330">
        <f>IF($A330="","",IFERROR(INDEX('Master Inventory'!$E:$E,MATCH($C330,'Master Inventory'!$A:$A,0)),0))</f>
        <v/>
      </c>
      <c r="G330">
        <f>IF($A330="","",'Blind Count Entry'!F328)</f>
        <v/>
      </c>
      <c r="H330">
        <f>IF($A330="","",G330-F330)</f>
        <v/>
      </c>
      <c r="I330" s="17">
        <f>IF($A330="","",IF(F330=0,IF(H330=0,0,1),ABS(H330)/F330))</f>
        <v/>
      </c>
      <c r="J330" s="18">
        <f>IF($A330="","",IF($E330="A",$E$1,IF($E330="B",$G$1,$I$1)))</f>
        <v/>
      </c>
      <c r="K330">
        <f>IF($A330="","",IF(H330=0,"MATCH",IF(I330&gt;J330,"RECOUNT","WITHIN TOLERANCE")))</f>
        <v/>
      </c>
      <c r="L330" s="5" t="n"/>
      <c r="M330">
        <f>IF(OR($A330="",$L330=""),"",L330-F330)</f>
        <v/>
      </c>
      <c r="N330" s="5" t="n"/>
      <c r="O330" s="5" t="n"/>
    </row>
    <row r="331">
      <c r="A331">
        <f>IF('Blind Count Entry'!A329="","",'Blind Count Entry'!A329)</f>
        <v/>
      </c>
      <c r="B331" s="16">
        <f>IF($A331="","",'Blind Count Entry'!B329)</f>
        <v/>
      </c>
      <c r="C331">
        <f>IF($A331="","",'Blind Count Entry'!C329)</f>
        <v/>
      </c>
      <c r="D331">
        <f>IF($A331="","",'Blind Count Entry'!D329)</f>
        <v/>
      </c>
      <c r="E331">
        <f>IF($A331="","",IFERROR(INDEX('ABC Analysis'!$F:$F,MATCH($C331,'ABC Analysis'!$A:$A,0)),""))</f>
        <v/>
      </c>
      <c r="F331">
        <f>IF($A331="","",IFERROR(INDEX('Master Inventory'!$E:$E,MATCH($C331,'Master Inventory'!$A:$A,0)),0))</f>
        <v/>
      </c>
      <c r="G331">
        <f>IF($A331="","",'Blind Count Entry'!F329)</f>
        <v/>
      </c>
      <c r="H331">
        <f>IF($A331="","",G331-F331)</f>
        <v/>
      </c>
      <c r="I331" s="17">
        <f>IF($A331="","",IF(F331=0,IF(H331=0,0,1),ABS(H331)/F331))</f>
        <v/>
      </c>
      <c r="J331" s="18">
        <f>IF($A331="","",IF($E331="A",$E$1,IF($E331="B",$G$1,$I$1)))</f>
        <v/>
      </c>
      <c r="K331">
        <f>IF($A331="","",IF(H331=0,"MATCH",IF(I331&gt;J331,"RECOUNT","WITHIN TOLERANCE")))</f>
        <v/>
      </c>
      <c r="L331" s="5" t="n"/>
      <c r="M331">
        <f>IF(OR($A331="",$L331=""),"",L331-F331)</f>
        <v/>
      </c>
      <c r="N331" s="5" t="n"/>
      <c r="O331" s="5" t="n"/>
    </row>
    <row r="332">
      <c r="A332">
        <f>IF('Blind Count Entry'!A330="","",'Blind Count Entry'!A330)</f>
        <v/>
      </c>
      <c r="B332" s="16">
        <f>IF($A332="","",'Blind Count Entry'!B330)</f>
        <v/>
      </c>
      <c r="C332">
        <f>IF($A332="","",'Blind Count Entry'!C330)</f>
        <v/>
      </c>
      <c r="D332">
        <f>IF($A332="","",'Blind Count Entry'!D330)</f>
        <v/>
      </c>
      <c r="E332">
        <f>IF($A332="","",IFERROR(INDEX('ABC Analysis'!$F:$F,MATCH($C332,'ABC Analysis'!$A:$A,0)),""))</f>
        <v/>
      </c>
      <c r="F332">
        <f>IF($A332="","",IFERROR(INDEX('Master Inventory'!$E:$E,MATCH($C332,'Master Inventory'!$A:$A,0)),0))</f>
        <v/>
      </c>
      <c r="G332">
        <f>IF($A332="","",'Blind Count Entry'!F330)</f>
        <v/>
      </c>
      <c r="H332">
        <f>IF($A332="","",G332-F332)</f>
        <v/>
      </c>
      <c r="I332" s="17">
        <f>IF($A332="","",IF(F332=0,IF(H332=0,0,1),ABS(H332)/F332))</f>
        <v/>
      </c>
      <c r="J332" s="18">
        <f>IF($A332="","",IF($E332="A",$E$1,IF($E332="B",$G$1,$I$1)))</f>
        <v/>
      </c>
      <c r="K332">
        <f>IF($A332="","",IF(H332=0,"MATCH",IF(I332&gt;J332,"RECOUNT","WITHIN TOLERANCE")))</f>
        <v/>
      </c>
      <c r="L332" s="5" t="n"/>
      <c r="M332">
        <f>IF(OR($A332="",$L332=""),"",L332-F332)</f>
        <v/>
      </c>
      <c r="N332" s="5" t="n"/>
      <c r="O332" s="5" t="n"/>
    </row>
    <row r="333">
      <c r="A333">
        <f>IF('Blind Count Entry'!A331="","",'Blind Count Entry'!A331)</f>
        <v/>
      </c>
      <c r="B333" s="16">
        <f>IF($A333="","",'Blind Count Entry'!B331)</f>
        <v/>
      </c>
      <c r="C333">
        <f>IF($A333="","",'Blind Count Entry'!C331)</f>
        <v/>
      </c>
      <c r="D333">
        <f>IF($A333="","",'Blind Count Entry'!D331)</f>
        <v/>
      </c>
      <c r="E333">
        <f>IF($A333="","",IFERROR(INDEX('ABC Analysis'!$F:$F,MATCH($C333,'ABC Analysis'!$A:$A,0)),""))</f>
        <v/>
      </c>
      <c r="F333">
        <f>IF($A333="","",IFERROR(INDEX('Master Inventory'!$E:$E,MATCH($C333,'Master Inventory'!$A:$A,0)),0))</f>
        <v/>
      </c>
      <c r="G333">
        <f>IF($A333="","",'Blind Count Entry'!F331)</f>
        <v/>
      </c>
      <c r="H333">
        <f>IF($A333="","",G333-F333)</f>
        <v/>
      </c>
      <c r="I333" s="17">
        <f>IF($A333="","",IF(F333=0,IF(H333=0,0,1),ABS(H333)/F333))</f>
        <v/>
      </c>
      <c r="J333" s="18">
        <f>IF($A333="","",IF($E333="A",$E$1,IF($E333="B",$G$1,$I$1)))</f>
        <v/>
      </c>
      <c r="K333">
        <f>IF($A333="","",IF(H333=0,"MATCH",IF(I333&gt;J333,"RECOUNT","WITHIN TOLERANCE")))</f>
        <v/>
      </c>
      <c r="L333" s="5" t="n"/>
      <c r="M333">
        <f>IF(OR($A333="",$L333=""),"",L333-F333)</f>
        <v/>
      </c>
      <c r="N333" s="5" t="n"/>
      <c r="O333" s="5" t="n"/>
    </row>
    <row r="334">
      <c r="A334">
        <f>IF('Blind Count Entry'!A332="","",'Blind Count Entry'!A332)</f>
        <v/>
      </c>
      <c r="B334" s="16">
        <f>IF($A334="","",'Blind Count Entry'!B332)</f>
        <v/>
      </c>
      <c r="C334">
        <f>IF($A334="","",'Blind Count Entry'!C332)</f>
        <v/>
      </c>
      <c r="D334">
        <f>IF($A334="","",'Blind Count Entry'!D332)</f>
        <v/>
      </c>
      <c r="E334">
        <f>IF($A334="","",IFERROR(INDEX('ABC Analysis'!$F:$F,MATCH($C334,'ABC Analysis'!$A:$A,0)),""))</f>
        <v/>
      </c>
      <c r="F334">
        <f>IF($A334="","",IFERROR(INDEX('Master Inventory'!$E:$E,MATCH($C334,'Master Inventory'!$A:$A,0)),0))</f>
        <v/>
      </c>
      <c r="G334">
        <f>IF($A334="","",'Blind Count Entry'!F332)</f>
        <v/>
      </c>
      <c r="H334">
        <f>IF($A334="","",G334-F334)</f>
        <v/>
      </c>
      <c r="I334" s="17">
        <f>IF($A334="","",IF(F334=0,IF(H334=0,0,1),ABS(H334)/F334))</f>
        <v/>
      </c>
      <c r="J334" s="18">
        <f>IF($A334="","",IF($E334="A",$E$1,IF($E334="B",$G$1,$I$1)))</f>
        <v/>
      </c>
      <c r="K334">
        <f>IF($A334="","",IF(H334=0,"MATCH",IF(I334&gt;J334,"RECOUNT","WITHIN TOLERANCE")))</f>
        <v/>
      </c>
      <c r="L334" s="5" t="n"/>
      <c r="M334">
        <f>IF(OR($A334="",$L334=""),"",L334-F334)</f>
        <v/>
      </c>
      <c r="N334" s="5" t="n"/>
      <c r="O334" s="5" t="n"/>
    </row>
    <row r="335">
      <c r="A335">
        <f>IF('Blind Count Entry'!A333="","",'Blind Count Entry'!A333)</f>
        <v/>
      </c>
      <c r="B335" s="16">
        <f>IF($A335="","",'Blind Count Entry'!B333)</f>
        <v/>
      </c>
      <c r="C335">
        <f>IF($A335="","",'Blind Count Entry'!C333)</f>
        <v/>
      </c>
      <c r="D335">
        <f>IF($A335="","",'Blind Count Entry'!D333)</f>
        <v/>
      </c>
      <c r="E335">
        <f>IF($A335="","",IFERROR(INDEX('ABC Analysis'!$F:$F,MATCH($C335,'ABC Analysis'!$A:$A,0)),""))</f>
        <v/>
      </c>
      <c r="F335">
        <f>IF($A335="","",IFERROR(INDEX('Master Inventory'!$E:$E,MATCH($C335,'Master Inventory'!$A:$A,0)),0))</f>
        <v/>
      </c>
      <c r="G335">
        <f>IF($A335="","",'Blind Count Entry'!F333)</f>
        <v/>
      </c>
      <c r="H335">
        <f>IF($A335="","",G335-F335)</f>
        <v/>
      </c>
      <c r="I335" s="17">
        <f>IF($A335="","",IF(F335=0,IF(H335=0,0,1),ABS(H335)/F335))</f>
        <v/>
      </c>
      <c r="J335" s="18">
        <f>IF($A335="","",IF($E335="A",$E$1,IF($E335="B",$G$1,$I$1)))</f>
        <v/>
      </c>
      <c r="K335">
        <f>IF($A335="","",IF(H335=0,"MATCH",IF(I335&gt;J335,"RECOUNT","WITHIN TOLERANCE")))</f>
        <v/>
      </c>
      <c r="L335" s="5" t="n"/>
      <c r="M335">
        <f>IF(OR($A335="",$L335=""),"",L335-F335)</f>
        <v/>
      </c>
      <c r="N335" s="5" t="n"/>
      <c r="O335" s="5" t="n"/>
    </row>
    <row r="336">
      <c r="A336">
        <f>IF('Blind Count Entry'!A334="","",'Blind Count Entry'!A334)</f>
        <v/>
      </c>
      <c r="B336" s="16">
        <f>IF($A336="","",'Blind Count Entry'!B334)</f>
        <v/>
      </c>
      <c r="C336">
        <f>IF($A336="","",'Blind Count Entry'!C334)</f>
        <v/>
      </c>
      <c r="D336">
        <f>IF($A336="","",'Blind Count Entry'!D334)</f>
        <v/>
      </c>
      <c r="E336">
        <f>IF($A336="","",IFERROR(INDEX('ABC Analysis'!$F:$F,MATCH($C336,'ABC Analysis'!$A:$A,0)),""))</f>
        <v/>
      </c>
      <c r="F336">
        <f>IF($A336="","",IFERROR(INDEX('Master Inventory'!$E:$E,MATCH($C336,'Master Inventory'!$A:$A,0)),0))</f>
        <v/>
      </c>
      <c r="G336">
        <f>IF($A336="","",'Blind Count Entry'!F334)</f>
        <v/>
      </c>
      <c r="H336">
        <f>IF($A336="","",G336-F336)</f>
        <v/>
      </c>
      <c r="I336" s="17">
        <f>IF($A336="","",IF(F336=0,IF(H336=0,0,1),ABS(H336)/F336))</f>
        <v/>
      </c>
      <c r="J336" s="18">
        <f>IF($A336="","",IF($E336="A",$E$1,IF($E336="B",$G$1,$I$1)))</f>
        <v/>
      </c>
      <c r="K336">
        <f>IF($A336="","",IF(H336=0,"MATCH",IF(I336&gt;J336,"RECOUNT","WITHIN TOLERANCE")))</f>
        <v/>
      </c>
      <c r="L336" s="5" t="n"/>
      <c r="M336">
        <f>IF(OR($A336="",$L336=""),"",L336-F336)</f>
        <v/>
      </c>
      <c r="N336" s="5" t="n"/>
      <c r="O336" s="5" t="n"/>
    </row>
    <row r="337">
      <c r="A337">
        <f>IF('Blind Count Entry'!A335="","",'Blind Count Entry'!A335)</f>
        <v/>
      </c>
      <c r="B337" s="16">
        <f>IF($A337="","",'Blind Count Entry'!B335)</f>
        <v/>
      </c>
      <c r="C337">
        <f>IF($A337="","",'Blind Count Entry'!C335)</f>
        <v/>
      </c>
      <c r="D337">
        <f>IF($A337="","",'Blind Count Entry'!D335)</f>
        <v/>
      </c>
      <c r="E337">
        <f>IF($A337="","",IFERROR(INDEX('ABC Analysis'!$F:$F,MATCH($C337,'ABC Analysis'!$A:$A,0)),""))</f>
        <v/>
      </c>
      <c r="F337">
        <f>IF($A337="","",IFERROR(INDEX('Master Inventory'!$E:$E,MATCH($C337,'Master Inventory'!$A:$A,0)),0))</f>
        <v/>
      </c>
      <c r="G337">
        <f>IF($A337="","",'Blind Count Entry'!F335)</f>
        <v/>
      </c>
      <c r="H337">
        <f>IF($A337="","",G337-F337)</f>
        <v/>
      </c>
      <c r="I337" s="17">
        <f>IF($A337="","",IF(F337=0,IF(H337=0,0,1),ABS(H337)/F337))</f>
        <v/>
      </c>
      <c r="J337" s="18">
        <f>IF($A337="","",IF($E337="A",$E$1,IF($E337="B",$G$1,$I$1)))</f>
        <v/>
      </c>
      <c r="K337">
        <f>IF($A337="","",IF(H337=0,"MATCH",IF(I337&gt;J337,"RECOUNT","WITHIN TOLERANCE")))</f>
        <v/>
      </c>
      <c r="L337" s="5" t="n"/>
      <c r="M337">
        <f>IF(OR($A337="",$L337=""),"",L337-F337)</f>
        <v/>
      </c>
      <c r="N337" s="5" t="n"/>
      <c r="O337" s="5" t="n"/>
    </row>
    <row r="338">
      <c r="A338">
        <f>IF('Blind Count Entry'!A336="","",'Blind Count Entry'!A336)</f>
        <v/>
      </c>
      <c r="B338" s="16">
        <f>IF($A338="","",'Blind Count Entry'!B336)</f>
        <v/>
      </c>
      <c r="C338">
        <f>IF($A338="","",'Blind Count Entry'!C336)</f>
        <v/>
      </c>
      <c r="D338">
        <f>IF($A338="","",'Blind Count Entry'!D336)</f>
        <v/>
      </c>
      <c r="E338">
        <f>IF($A338="","",IFERROR(INDEX('ABC Analysis'!$F:$F,MATCH($C338,'ABC Analysis'!$A:$A,0)),""))</f>
        <v/>
      </c>
      <c r="F338">
        <f>IF($A338="","",IFERROR(INDEX('Master Inventory'!$E:$E,MATCH($C338,'Master Inventory'!$A:$A,0)),0))</f>
        <v/>
      </c>
      <c r="G338">
        <f>IF($A338="","",'Blind Count Entry'!F336)</f>
        <v/>
      </c>
      <c r="H338">
        <f>IF($A338="","",G338-F338)</f>
        <v/>
      </c>
      <c r="I338" s="17">
        <f>IF($A338="","",IF(F338=0,IF(H338=0,0,1),ABS(H338)/F338))</f>
        <v/>
      </c>
      <c r="J338" s="18">
        <f>IF($A338="","",IF($E338="A",$E$1,IF($E338="B",$G$1,$I$1)))</f>
        <v/>
      </c>
      <c r="K338">
        <f>IF($A338="","",IF(H338=0,"MATCH",IF(I338&gt;J338,"RECOUNT","WITHIN TOLERANCE")))</f>
        <v/>
      </c>
      <c r="L338" s="5" t="n"/>
      <c r="M338">
        <f>IF(OR($A338="",$L338=""),"",L338-F338)</f>
        <v/>
      </c>
      <c r="N338" s="5" t="n"/>
      <c r="O338" s="5" t="n"/>
    </row>
    <row r="339">
      <c r="A339">
        <f>IF('Blind Count Entry'!A337="","",'Blind Count Entry'!A337)</f>
        <v/>
      </c>
      <c r="B339" s="16">
        <f>IF($A339="","",'Blind Count Entry'!B337)</f>
        <v/>
      </c>
      <c r="C339">
        <f>IF($A339="","",'Blind Count Entry'!C337)</f>
        <v/>
      </c>
      <c r="D339">
        <f>IF($A339="","",'Blind Count Entry'!D337)</f>
        <v/>
      </c>
      <c r="E339">
        <f>IF($A339="","",IFERROR(INDEX('ABC Analysis'!$F:$F,MATCH($C339,'ABC Analysis'!$A:$A,0)),""))</f>
        <v/>
      </c>
      <c r="F339">
        <f>IF($A339="","",IFERROR(INDEX('Master Inventory'!$E:$E,MATCH($C339,'Master Inventory'!$A:$A,0)),0))</f>
        <v/>
      </c>
      <c r="G339">
        <f>IF($A339="","",'Blind Count Entry'!F337)</f>
        <v/>
      </c>
      <c r="H339">
        <f>IF($A339="","",G339-F339)</f>
        <v/>
      </c>
      <c r="I339" s="17">
        <f>IF($A339="","",IF(F339=0,IF(H339=0,0,1),ABS(H339)/F339))</f>
        <v/>
      </c>
      <c r="J339" s="18">
        <f>IF($A339="","",IF($E339="A",$E$1,IF($E339="B",$G$1,$I$1)))</f>
        <v/>
      </c>
      <c r="K339">
        <f>IF($A339="","",IF(H339=0,"MATCH",IF(I339&gt;J339,"RECOUNT","WITHIN TOLERANCE")))</f>
        <v/>
      </c>
      <c r="L339" s="5" t="n"/>
      <c r="M339">
        <f>IF(OR($A339="",$L339=""),"",L339-F339)</f>
        <v/>
      </c>
      <c r="N339" s="5" t="n"/>
      <c r="O339" s="5" t="n"/>
    </row>
    <row r="340">
      <c r="A340">
        <f>IF('Blind Count Entry'!A338="","",'Blind Count Entry'!A338)</f>
        <v/>
      </c>
      <c r="B340" s="16">
        <f>IF($A340="","",'Blind Count Entry'!B338)</f>
        <v/>
      </c>
      <c r="C340">
        <f>IF($A340="","",'Blind Count Entry'!C338)</f>
        <v/>
      </c>
      <c r="D340">
        <f>IF($A340="","",'Blind Count Entry'!D338)</f>
        <v/>
      </c>
      <c r="E340">
        <f>IF($A340="","",IFERROR(INDEX('ABC Analysis'!$F:$F,MATCH($C340,'ABC Analysis'!$A:$A,0)),""))</f>
        <v/>
      </c>
      <c r="F340">
        <f>IF($A340="","",IFERROR(INDEX('Master Inventory'!$E:$E,MATCH($C340,'Master Inventory'!$A:$A,0)),0))</f>
        <v/>
      </c>
      <c r="G340">
        <f>IF($A340="","",'Blind Count Entry'!F338)</f>
        <v/>
      </c>
      <c r="H340">
        <f>IF($A340="","",G340-F340)</f>
        <v/>
      </c>
      <c r="I340" s="17">
        <f>IF($A340="","",IF(F340=0,IF(H340=0,0,1),ABS(H340)/F340))</f>
        <v/>
      </c>
      <c r="J340" s="18">
        <f>IF($A340="","",IF($E340="A",$E$1,IF($E340="B",$G$1,$I$1)))</f>
        <v/>
      </c>
      <c r="K340">
        <f>IF($A340="","",IF(H340=0,"MATCH",IF(I340&gt;J340,"RECOUNT","WITHIN TOLERANCE")))</f>
        <v/>
      </c>
      <c r="L340" s="5" t="n"/>
      <c r="M340">
        <f>IF(OR($A340="",$L340=""),"",L340-F340)</f>
        <v/>
      </c>
      <c r="N340" s="5" t="n"/>
      <c r="O340" s="5" t="n"/>
    </row>
    <row r="341">
      <c r="A341">
        <f>IF('Blind Count Entry'!A339="","",'Blind Count Entry'!A339)</f>
        <v/>
      </c>
      <c r="B341" s="16">
        <f>IF($A341="","",'Blind Count Entry'!B339)</f>
        <v/>
      </c>
      <c r="C341">
        <f>IF($A341="","",'Blind Count Entry'!C339)</f>
        <v/>
      </c>
      <c r="D341">
        <f>IF($A341="","",'Blind Count Entry'!D339)</f>
        <v/>
      </c>
      <c r="E341">
        <f>IF($A341="","",IFERROR(INDEX('ABC Analysis'!$F:$F,MATCH($C341,'ABC Analysis'!$A:$A,0)),""))</f>
        <v/>
      </c>
      <c r="F341">
        <f>IF($A341="","",IFERROR(INDEX('Master Inventory'!$E:$E,MATCH($C341,'Master Inventory'!$A:$A,0)),0))</f>
        <v/>
      </c>
      <c r="G341">
        <f>IF($A341="","",'Blind Count Entry'!F339)</f>
        <v/>
      </c>
      <c r="H341">
        <f>IF($A341="","",G341-F341)</f>
        <v/>
      </c>
      <c r="I341" s="17">
        <f>IF($A341="","",IF(F341=0,IF(H341=0,0,1),ABS(H341)/F341))</f>
        <v/>
      </c>
      <c r="J341" s="18">
        <f>IF($A341="","",IF($E341="A",$E$1,IF($E341="B",$G$1,$I$1)))</f>
        <v/>
      </c>
      <c r="K341">
        <f>IF($A341="","",IF(H341=0,"MATCH",IF(I341&gt;J341,"RECOUNT","WITHIN TOLERANCE")))</f>
        <v/>
      </c>
      <c r="L341" s="5" t="n"/>
      <c r="M341">
        <f>IF(OR($A341="",$L341=""),"",L341-F341)</f>
        <v/>
      </c>
      <c r="N341" s="5" t="n"/>
      <c r="O341" s="5" t="n"/>
    </row>
    <row r="342">
      <c r="A342">
        <f>IF('Blind Count Entry'!A340="","",'Blind Count Entry'!A340)</f>
        <v/>
      </c>
      <c r="B342" s="16">
        <f>IF($A342="","",'Blind Count Entry'!B340)</f>
        <v/>
      </c>
      <c r="C342">
        <f>IF($A342="","",'Blind Count Entry'!C340)</f>
        <v/>
      </c>
      <c r="D342">
        <f>IF($A342="","",'Blind Count Entry'!D340)</f>
        <v/>
      </c>
      <c r="E342">
        <f>IF($A342="","",IFERROR(INDEX('ABC Analysis'!$F:$F,MATCH($C342,'ABC Analysis'!$A:$A,0)),""))</f>
        <v/>
      </c>
      <c r="F342">
        <f>IF($A342="","",IFERROR(INDEX('Master Inventory'!$E:$E,MATCH($C342,'Master Inventory'!$A:$A,0)),0))</f>
        <v/>
      </c>
      <c r="G342">
        <f>IF($A342="","",'Blind Count Entry'!F340)</f>
        <v/>
      </c>
      <c r="H342">
        <f>IF($A342="","",G342-F342)</f>
        <v/>
      </c>
      <c r="I342" s="17">
        <f>IF($A342="","",IF(F342=0,IF(H342=0,0,1),ABS(H342)/F342))</f>
        <v/>
      </c>
      <c r="J342" s="18">
        <f>IF($A342="","",IF($E342="A",$E$1,IF($E342="B",$G$1,$I$1)))</f>
        <v/>
      </c>
      <c r="K342">
        <f>IF($A342="","",IF(H342=0,"MATCH",IF(I342&gt;J342,"RECOUNT","WITHIN TOLERANCE")))</f>
        <v/>
      </c>
      <c r="L342" s="5" t="n"/>
      <c r="M342">
        <f>IF(OR($A342="",$L342=""),"",L342-F342)</f>
        <v/>
      </c>
      <c r="N342" s="5" t="n"/>
      <c r="O342" s="5" t="n"/>
    </row>
    <row r="343">
      <c r="A343">
        <f>IF('Blind Count Entry'!A341="","",'Blind Count Entry'!A341)</f>
        <v/>
      </c>
      <c r="B343" s="16">
        <f>IF($A343="","",'Blind Count Entry'!B341)</f>
        <v/>
      </c>
      <c r="C343">
        <f>IF($A343="","",'Blind Count Entry'!C341)</f>
        <v/>
      </c>
      <c r="D343">
        <f>IF($A343="","",'Blind Count Entry'!D341)</f>
        <v/>
      </c>
      <c r="E343">
        <f>IF($A343="","",IFERROR(INDEX('ABC Analysis'!$F:$F,MATCH($C343,'ABC Analysis'!$A:$A,0)),""))</f>
        <v/>
      </c>
      <c r="F343">
        <f>IF($A343="","",IFERROR(INDEX('Master Inventory'!$E:$E,MATCH($C343,'Master Inventory'!$A:$A,0)),0))</f>
        <v/>
      </c>
      <c r="G343">
        <f>IF($A343="","",'Blind Count Entry'!F341)</f>
        <v/>
      </c>
      <c r="H343">
        <f>IF($A343="","",G343-F343)</f>
        <v/>
      </c>
      <c r="I343" s="17">
        <f>IF($A343="","",IF(F343=0,IF(H343=0,0,1),ABS(H343)/F343))</f>
        <v/>
      </c>
      <c r="J343" s="18">
        <f>IF($A343="","",IF($E343="A",$E$1,IF($E343="B",$G$1,$I$1)))</f>
        <v/>
      </c>
      <c r="K343">
        <f>IF($A343="","",IF(H343=0,"MATCH",IF(I343&gt;J343,"RECOUNT","WITHIN TOLERANCE")))</f>
        <v/>
      </c>
      <c r="L343" s="5" t="n"/>
      <c r="M343">
        <f>IF(OR($A343="",$L343=""),"",L343-F343)</f>
        <v/>
      </c>
      <c r="N343" s="5" t="n"/>
      <c r="O343" s="5" t="n"/>
    </row>
    <row r="344">
      <c r="A344">
        <f>IF('Blind Count Entry'!A342="","",'Blind Count Entry'!A342)</f>
        <v/>
      </c>
      <c r="B344" s="16">
        <f>IF($A344="","",'Blind Count Entry'!B342)</f>
        <v/>
      </c>
      <c r="C344">
        <f>IF($A344="","",'Blind Count Entry'!C342)</f>
        <v/>
      </c>
      <c r="D344">
        <f>IF($A344="","",'Blind Count Entry'!D342)</f>
        <v/>
      </c>
      <c r="E344">
        <f>IF($A344="","",IFERROR(INDEX('ABC Analysis'!$F:$F,MATCH($C344,'ABC Analysis'!$A:$A,0)),""))</f>
        <v/>
      </c>
      <c r="F344">
        <f>IF($A344="","",IFERROR(INDEX('Master Inventory'!$E:$E,MATCH($C344,'Master Inventory'!$A:$A,0)),0))</f>
        <v/>
      </c>
      <c r="G344">
        <f>IF($A344="","",'Blind Count Entry'!F342)</f>
        <v/>
      </c>
      <c r="H344">
        <f>IF($A344="","",G344-F344)</f>
        <v/>
      </c>
      <c r="I344" s="17">
        <f>IF($A344="","",IF(F344=0,IF(H344=0,0,1),ABS(H344)/F344))</f>
        <v/>
      </c>
      <c r="J344" s="18">
        <f>IF($A344="","",IF($E344="A",$E$1,IF($E344="B",$G$1,$I$1)))</f>
        <v/>
      </c>
      <c r="K344">
        <f>IF($A344="","",IF(H344=0,"MATCH",IF(I344&gt;J344,"RECOUNT","WITHIN TOLERANCE")))</f>
        <v/>
      </c>
      <c r="L344" s="5" t="n"/>
      <c r="M344">
        <f>IF(OR($A344="",$L344=""),"",L344-F344)</f>
        <v/>
      </c>
      <c r="N344" s="5" t="n"/>
      <c r="O344" s="5" t="n"/>
    </row>
    <row r="345">
      <c r="A345">
        <f>IF('Blind Count Entry'!A343="","",'Blind Count Entry'!A343)</f>
        <v/>
      </c>
      <c r="B345" s="16">
        <f>IF($A345="","",'Blind Count Entry'!B343)</f>
        <v/>
      </c>
      <c r="C345">
        <f>IF($A345="","",'Blind Count Entry'!C343)</f>
        <v/>
      </c>
      <c r="D345">
        <f>IF($A345="","",'Blind Count Entry'!D343)</f>
        <v/>
      </c>
      <c r="E345">
        <f>IF($A345="","",IFERROR(INDEX('ABC Analysis'!$F:$F,MATCH($C345,'ABC Analysis'!$A:$A,0)),""))</f>
        <v/>
      </c>
      <c r="F345">
        <f>IF($A345="","",IFERROR(INDEX('Master Inventory'!$E:$E,MATCH($C345,'Master Inventory'!$A:$A,0)),0))</f>
        <v/>
      </c>
      <c r="G345">
        <f>IF($A345="","",'Blind Count Entry'!F343)</f>
        <v/>
      </c>
      <c r="H345">
        <f>IF($A345="","",G345-F345)</f>
        <v/>
      </c>
      <c r="I345" s="17">
        <f>IF($A345="","",IF(F345=0,IF(H345=0,0,1),ABS(H345)/F345))</f>
        <v/>
      </c>
      <c r="J345" s="18">
        <f>IF($A345="","",IF($E345="A",$E$1,IF($E345="B",$G$1,$I$1)))</f>
        <v/>
      </c>
      <c r="K345">
        <f>IF($A345="","",IF(H345=0,"MATCH",IF(I345&gt;J345,"RECOUNT","WITHIN TOLERANCE")))</f>
        <v/>
      </c>
      <c r="L345" s="5" t="n"/>
      <c r="M345">
        <f>IF(OR($A345="",$L345=""),"",L345-F345)</f>
        <v/>
      </c>
      <c r="N345" s="5" t="n"/>
      <c r="O345" s="5" t="n"/>
    </row>
    <row r="346">
      <c r="A346">
        <f>IF('Blind Count Entry'!A344="","",'Blind Count Entry'!A344)</f>
        <v/>
      </c>
      <c r="B346" s="16">
        <f>IF($A346="","",'Blind Count Entry'!B344)</f>
        <v/>
      </c>
      <c r="C346">
        <f>IF($A346="","",'Blind Count Entry'!C344)</f>
        <v/>
      </c>
      <c r="D346">
        <f>IF($A346="","",'Blind Count Entry'!D344)</f>
        <v/>
      </c>
      <c r="E346">
        <f>IF($A346="","",IFERROR(INDEX('ABC Analysis'!$F:$F,MATCH($C346,'ABC Analysis'!$A:$A,0)),""))</f>
        <v/>
      </c>
      <c r="F346">
        <f>IF($A346="","",IFERROR(INDEX('Master Inventory'!$E:$E,MATCH($C346,'Master Inventory'!$A:$A,0)),0))</f>
        <v/>
      </c>
      <c r="G346">
        <f>IF($A346="","",'Blind Count Entry'!F344)</f>
        <v/>
      </c>
      <c r="H346">
        <f>IF($A346="","",G346-F346)</f>
        <v/>
      </c>
      <c r="I346" s="17">
        <f>IF($A346="","",IF(F346=0,IF(H346=0,0,1),ABS(H346)/F346))</f>
        <v/>
      </c>
      <c r="J346" s="18">
        <f>IF($A346="","",IF($E346="A",$E$1,IF($E346="B",$G$1,$I$1)))</f>
        <v/>
      </c>
      <c r="K346">
        <f>IF($A346="","",IF(H346=0,"MATCH",IF(I346&gt;J346,"RECOUNT","WITHIN TOLERANCE")))</f>
        <v/>
      </c>
      <c r="L346" s="5" t="n"/>
      <c r="M346">
        <f>IF(OR($A346="",$L346=""),"",L346-F346)</f>
        <v/>
      </c>
      <c r="N346" s="5" t="n"/>
      <c r="O346" s="5" t="n"/>
    </row>
    <row r="347">
      <c r="A347">
        <f>IF('Blind Count Entry'!A345="","",'Blind Count Entry'!A345)</f>
        <v/>
      </c>
      <c r="B347" s="16">
        <f>IF($A347="","",'Blind Count Entry'!B345)</f>
        <v/>
      </c>
      <c r="C347">
        <f>IF($A347="","",'Blind Count Entry'!C345)</f>
        <v/>
      </c>
      <c r="D347">
        <f>IF($A347="","",'Blind Count Entry'!D345)</f>
        <v/>
      </c>
      <c r="E347">
        <f>IF($A347="","",IFERROR(INDEX('ABC Analysis'!$F:$F,MATCH($C347,'ABC Analysis'!$A:$A,0)),""))</f>
        <v/>
      </c>
      <c r="F347">
        <f>IF($A347="","",IFERROR(INDEX('Master Inventory'!$E:$E,MATCH($C347,'Master Inventory'!$A:$A,0)),0))</f>
        <v/>
      </c>
      <c r="G347">
        <f>IF($A347="","",'Blind Count Entry'!F345)</f>
        <v/>
      </c>
      <c r="H347">
        <f>IF($A347="","",G347-F347)</f>
        <v/>
      </c>
      <c r="I347" s="17">
        <f>IF($A347="","",IF(F347=0,IF(H347=0,0,1),ABS(H347)/F347))</f>
        <v/>
      </c>
      <c r="J347" s="18">
        <f>IF($A347="","",IF($E347="A",$E$1,IF($E347="B",$G$1,$I$1)))</f>
        <v/>
      </c>
      <c r="K347">
        <f>IF($A347="","",IF(H347=0,"MATCH",IF(I347&gt;J347,"RECOUNT","WITHIN TOLERANCE")))</f>
        <v/>
      </c>
      <c r="L347" s="5" t="n"/>
      <c r="M347">
        <f>IF(OR($A347="",$L347=""),"",L347-F347)</f>
        <v/>
      </c>
      <c r="N347" s="5" t="n"/>
      <c r="O347" s="5" t="n"/>
    </row>
    <row r="348">
      <c r="A348">
        <f>IF('Blind Count Entry'!A346="","",'Blind Count Entry'!A346)</f>
        <v/>
      </c>
      <c r="B348" s="16">
        <f>IF($A348="","",'Blind Count Entry'!B346)</f>
        <v/>
      </c>
      <c r="C348">
        <f>IF($A348="","",'Blind Count Entry'!C346)</f>
        <v/>
      </c>
      <c r="D348">
        <f>IF($A348="","",'Blind Count Entry'!D346)</f>
        <v/>
      </c>
      <c r="E348">
        <f>IF($A348="","",IFERROR(INDEX('ABC Analysis'!$F:$F,MATCH($C348,'ABC Analysis'!$A:$A,0)),""))</f>
        <v/>
      </c>
      <c r="F348">
        <f>IF($A348="","",IFERROR(INDEX('Master Inventory'!$E:$E,MATCH($C348,'Master Inventory'!$A:$A,0)),0))</f>
        <v/>
      </c>
      <c r="G348">
        <f>IF($A348="","",'Blind Count Entry'!F346)</f>
        <v/>
      </c>
      <c r="H348">
        <f>IF($A348="","",G348-F348)</f>
        <v/>
      </c>
      <c r="I348" s="17">
        <f>IF($A348="","",IF(F348=0,IF(H348=0,0,1),ABS(H348)/F348))</f>
        <v/>
      </c>
      <c r="J348" s="18">
        <f>IF($A348="","",IF($E348="A",$E$1,IF($E348="B",$G$1,$I$1)))</f>
        <v/>
      </c>
      <c r="K348">
        <f>IF($A348="","",IF(H348=0,"MATCH",IF(I348&gt;J348,"RECOUNT","WITHIN TOLERANCE")))</f>
        <v/>
      </c>
      <c r="L348" s="5" t="n"/>
      <c r="M348">
        <f>IF(OR($A348="",$L348=""),"",L348-F348)</f>
        <v/>
      </c>
      <c r="N348" s="5" t="n"/>
      <c r="O348" s="5" t="n"/>
    </row>
    <row r="349">
      <c r="A349">
        <f>IF('Blind Count Entry'!A347="","",'Blind Count Entry'!A347)</f>
        <v/>
      </c>
      <c r="B349" s="16">
        <f>IF($A349="","",'Blind Count Entry'!B347)</f>
        <v/>
      </c>
      <c r="C349">
        <f>IF($A349="","",'Blind Count Entry'!C347)</f>
        <v/>
      </c>
      <c r="D349">
        <f>IF($A349="","",'Blind Count Entry'!D347)</f>
        <v/>
      </c>
      <c r="E349">
        <f>IF($A349="","",IFERROR(INDEX('ABC Analysis'!$F:$F,MATCH($C349,'ABC Analysis'!$A:$A,0)),""))</f>
        <v/>
      </c>
      <c r="F349">
        <f>IF($A349="","",IFERROR(INDEX('Master Inventory'!$E:$E,MATCH($C349,'Master Inventory'!$A:$A,0)),0))</f>
        <v/>
      </c>
      <c r="G349">
        <f>IF($A349="","",'Blind Count Entry'!F347)</f>
        <v/>
      </c>
      <c r="H349">
        <f>IF($A349="","",G349-F349)</f>
        <v/>
      </c>
      <c r="I349" s="17">
        <f>IF($A349="","",IF(F349=0,IF(H349=0,0,1),ABS(H349)/F349))</f>
        <v/>
      </c>
      <c r="J349" s="18">
        <f>IF($A349="","",IF($E349="A",$E$1,IF($E349="B",$G$1,$I$1)))</f>
        <v/>
      </c>
      <c r="K349">
        <f>IF($A349="","",IF(H349=0,"MATCH",IF(I349&gt;J349,"RECOUNT","WITHIN TOLERANCE")))</f>
        <v/>
      </c>
      <c r="L349" s="5" t="n"/>
      <c r="M349">
        <f>IF(OR($A349="",$L349=""),"",L349-F349)</f>
        <v/>
      </c>
      <c r="N349" s="5" t="n"/>
      <c r="O349" s="5" t="n"/>
    </row>
    <row r="350">
      <c r="A350">
        <f>IF('Blind Count Entry'!A348="","",'Blind Count Entry'!A348)</f>
        <v/>
      </c>
      <c r="B350" s="16">
        <f>IF($A350="","",'Blind Count Entry'!B348)</f>
        <v/>
      </c>
      <c r="C350">
        <f>IF($A350="","",'Blind Count Entry'!C348)</f>
        <v/>
      </c>
      <c r="D350">
        <f>IF($A350="","",'Blind Count Entry'!D348)</f>
        <v/>
      </c>
      <c r="E350">
        <f>IF($A350="","",IFERROR(INDEX('ABC Analysis'!$F:$F,MATCH($C350,'ABC Analysis'!$A:$A,0)),""))</f>
        <v/>
      </c>
      <c r="F350">
        <f>IF($A350="","",IFERROR(INDEX('Master Inventory'!$E:$E,MATCH($C350,'Master Inventory'!$A:$A,0)),0))</f>
        <v/>
      </c>
      <c r="G350">
        <f>IF($A350="","",'Blind Count Entry'!F348)</f>
        <v/>
      </c>
      <c r="H350">
        <f>IF($A350="","",G350-F350)</f>
        <v/>
      </c>
      <c r="I350" s="17">
        <f>IF($A350="","",IF(F350=0,IF(H350=0,0,1),ABS(H350)/F350))</f>
        <v/>
      </c>
      <c r="J350" s="18">
        <f>IF($A350="","",IF($E350="A",$E$1,IF($E350="B",$G$1,$I$1)))</f>
        <v/>
      </c>
      <c r="K350">
        <f>IF($A350="","",IF(H350=0,"MATCH",IF(I350&gt;J350,"RECOUNT","WITHIN TOLERANCE")))</f>
        <v/>
      </c>
      <c r="L350" s="5" t="n"/>
      <c r="M350">
        <f>IF(OR($A350="",$L350=""),"",L350-F350)</f>
        <v/>
      </c>
      <c r="N350" s="5" t="n"/>
      <c r="O350" s="5" t="n"/>
    </row>
    <row r="351">
      <c r="A351">
        <f>IF('Blind Count Entry'!A349="","",'Blind Count Entry'!A349)</f>
        <v/>
      </c>
      <c r="B351" s="16">
        <f>IF($A351="","",'Blind Count Entry'!B349)</f>
        <v/>
      </c>
      <c r="C351">
        <f>IF($A351="","",'Blind Count Entry'!C349)</f>
        <v/>
      </c>
      <c r="D351">
        <f>IF($A351="","",'Blind Count Entry'!D349)</f>
        <v/>
      </c>
      <c r="E351">
        <f>IF($A351="","",IFERROR(INDEX('ABC Analysis'!$F:$F,MATCH($C351,'ABC Analysis'!$A:$A,0)),""))</f>
        <v/>
      </c>
      <c r="F351">
        <f>IF($A351="","",IFERROR(INDEX('Master Inventory'!$E:$E,MATCH($C351,'Master Inventory'!$A:$A,0)),0))</f>
        <v/>
      </c>
      <c r="G351">
        <f>IF($A351="","",'Blind Count Entry'!F349)</f>
        <v/>
      </c>
      <c r="H351">
        <f>IF($A351="","",G351-F351)</f>
        <v/>
      </c>
      <c r="I351" s="17">
        <f>IF($A351="","",IF(F351=0,IF(H351=0,0,1),ABS(H351)/F351))</f>
        <v/>
      </c>
      <c r="J351" s="18">
        <f>IF($A351="","",IF($E351="A",$E$1,IF($E351="B",$G$1,$I$1)))</f>
        <v/>
      </c>
      <c r="K351">
        <f>IF($A351="","",IF(H351=0,"MATCH",IF(I351&gt;J351,"RECOUNT","WITHIN TOLERANCE")))</f>
        <v/>
      </c>
      <c r="L351" s="5" t="n"/>
      <c r="M351">
        <f>IF(OR($A351="",$L351=""),"",L351-F351)</f>
        <v/>
      </c>
      <c r="N351" s="5" t="n"/>
      <c r="O351" s="5" t="n"/>
    </row>
    <row r="352">
      <c r="A352">
        <f>IF('Blind Count Entry'!A350="","",'Blind Count Entry'!A350)</f>
        <v/>
      </c>
      <c r="B352" s="16">
        <f>IF($A352="","",'Blind Count Entry'!B350)</f>
        <v/>
      </c>
      <c r="C352">
        <f>IF($A352="","",'Blind Count Entry'!C350)</f>
        <v/>
      </c>
      <c r="D352">
        <f>IF($A352="","",'Blind Count Entry'!D350)</f>
        <v/>
      </c>
      <c r="E352">
        <f>IF($A352="","",IFERROR(INDEX('ABC Analysis'!$F:$F,MATCH($C352,'ABC Analysis'!$A:$A,0)),""))</f>
        <v/>
      </c>
      <c r="F352">
        <f>IF($A352="","",IFERROR(INDEX('Master Inventory'!$E:$E,MATCH($C352,'Master Inventory'!$A:$A,0)),0))</f>
        <v/>
      </c>
      <c r="G352">
        <f>IF($A352="","",'Blind Count Entry'!F350)</f>
        <v/>
      </c>
      <c r="H352">
        <f>IF($A352="","",G352-F352)</f>
        <v/>
      </c>
      <c r="I352" s="17">
        <f>IF($A352="","",IF(F352=0,IF(H352=0,0,1),ABS(H352)/F352))</f>
        <v/>
      </c>
      <c r="J352" s="18">
        <f>IF($A352="","",IF($E352="A",$E$1,IF($E352="B",$G$1,$I$1)))</f>
        <v/>
      </c>
      <c r="K352">
        <f>IF($A352="","",IF(H352=0,"MATCH",IF(I352&gt;J352,"RECOUNT","WITHIN TOLERANCE")))</f>
        <v/>
      </c>
      <c r="L352" s="5" t="n"/>
      <c r="M352">
        <f>IF(OR($A352="",$L352=""),"",L352-F352)</f>
        <v/>
      </c>
      <c r="N352" s="5" t="n"/>
      <c r="O352" s="5" t="n"/>
    </row>
    <row r="353">
      <c r="A353">
        <f>IF('Blind Count Entry'!A351="","",'Blind Count Entry'!A351)</f>
        <v/>
      </c>
      <c r="B353" s="16">
        <f>IF($A353="","",'Blind Count Entry'!B351)</f>
        <v/>
      </c>
      <c r="C353">
        <f>IF($A353="","",'Blind Count Entry'!C351)</f>
        <v/>
      </c>
      <c r="D353">
        <f>IF($A353="","",'Blind Count Entry'!D351)</f>
        <v/>
      </c>
      <c r="E353">
        <f>IF($A353="","",IFERROR(INDEX('ABC Analysis'!$F:$F,MATCH($C353,'ABC Analysis'!$A:$A,0)),""))</f>
        <v/>
      </c>
      <c r="F353">
        <f>IF($A353="","",IFERROR(INDEX('Master Inventory'!$E:$E,MATCH($C353,'Master Inventory'!$A:$A,0)),0))</f>
        <v/>
      </c>
      <c r="G353">
        <f>IF($A353="","",'Blind Count Entry'!F351)</f>
        <v/>
      </c>
      <c r="H353">
        <f>IF($A353="","",G353-F353)</f>
        <v/>
      </c>
      <c r="I353" s="17">
        <f>IF($A353="","",IF(F353=0,IF(H353=0,0,1),ABS(H353)/F353))</f>
        <v/>
      </c>
      <c r="J353" s="18">
        <f>IF($A353="","",IF($E353="A",$E$1,IF($E353="B",$G$1,$I$1)))</f>
        <v/>
      </c>
      <c r="K353">
        <f>IF($A353="","",IF(H353=0,"MATCH",IF(I353&gt;J353,"RECOUNT","WITHIN TOLERANCE")))</f>
        <v/>
      </c>
      <c r="L353" s="5" t="n"/>
      <c r="M353">
        <f>IF(OR($A353="",$L353=""),"",L353-F353)</f>
        <v/>
      </c>
      <c r="N353" s="5" t="n"/>
      <c r="O353" s="5" t="n"/>
    </row>
    <row r="354">
      <c r="A354">
        <f>IF('Blind Count Entry'!A352="","",'Blind Count Entry'!A352)</f>
        <v/>
      </c>
      <c r="B354" s="16">
        <f>IF($A354="","",'Blind Count Entry'!B352)</f>
        <v/>
      </c>
      <c r="C354">
        <f>IF($A354="","",'Blind Count Entry'!C352)</f>
        <v/>
      </c>
      <c r="D354">
        <f>IF($A354="","",'Blind Count Entry'!D352)</f>
        <v/>
      </c>
      <c r="E354">
        <f>IF($A354="","",IFERROR(INDEX('ABC Analysis'!$F:$F,MATCH($C354,'ABC Analysis'!$A:$A,0)),""))</f>
        <v/>
      </c>
      <c r="F354">
        <f>IF($A354="","",IFERROR(INDEX('Master Inventory'!$E:$E,MATCH($C354,'Master Inventory'!$A:$A,0)),0))</f>
        <v/>
      </c>
      <c r="G354">
        <f>IF($A354="","",'Blind Count Entry'!F352)</f>
        <v/>
      </c>
      <c r="H354">
        <f>IF($A354="","",G354-F354)</f>
        <v/>
      </c>
      <c r="I354" s="17">
        <f>IF($A354="","",IF(F354=0,IF(H354=0,0,1),ABS(H354)/F354))</f>
        <v/>
      </c>
      <c r="J354" s="18">
        <f>IF($A354="","",IF($E354="A",$E$1,IF($E354="B",$G$1,$I$1)))</f>
        <v/>
      </c>
      <c r="K354">
        <f>IF($A354="","",IF(H354=0,"MATCH",IF(I354&gt;J354,"RECOUNT","WITHIN TOLERANCE")))</f>
        <v/>
      </c>
      <c r="L354" s="5" t="n"/>
      <c r="M354">
        <f>IF(OR($A354="",$L354=""),"",L354-F354)</f>
        <v/>
      </c>
      <c r="N354" s="5" t="n"/>
      <c r="O354" s="5" t="n"/>
    </row>
    <row r="355">
      <c r="A355">
        <f>IF('Blind Count Entry'!A353="","",'Blind Count Entry'!A353)</f>
        <v/>
      </c>
      <c r="B355" s="16">
        <f>IF($A355="","",'Blind Count Entry'!B353)</f>
        <v/>
      </c>
      <c r="C355">
        <f>IF($A355="","",'Blind Count Entry'!C353)</f>
        <v/>
      </c>
      <c r="D355">
        <f>IF($A355="","",'Blind Count Entry'!D353)</f>
        <v/>
      </c>
      <c r="E355">
        <f>IF($A355="","",IFERROR(INDEX('ABC Analysis'!$F:$F,MATCH($C355,'ABC Analysis'!$A:$A,0)),""))</f>
        <v/>
      </c>
      <c r="F355">
        <f>IF($A355="","",IFERROR(INDEX('Master Inventory'!$E:$E,MATCH($C355,'Master Inventory'!$A:$A,0)),0))</f>
        <v/>
      </c>
      <c r="G355">
        <f>IF($A355="","",'Blind Count Entry'!F353)</f>
        <v/>
      </c>
      <c r="H355">
        <f>IF($A355="","",G355-F355)</f>
        <v/>
      </c>
      <c r="I355" s="17">
        <f>IF($A355="","",IF(F355=0,IF(H355=0,0,1),ABS(H355)/F355))</f>
        <v/>
      </c>
      <c r="J355" s="18">
        <f>IF($A355="","",IF($E355="A",$E$1,IF($E355="B",$G$1,$I$1)))</f>
        <v/>
      </c>
      <c r="K355">
        <f>IF($A355="","",IF(H355=0,"MATCH",IF(I355&gt;J355,"RECOUNT","WITHIN TOLERANCE")))</f>
        <v/>
      </c>
      <c r="L355" s="5" t="n"/>
      <c r="M355">
        <f>IF(OR($A355="",$L355=""),"",L355-F355)</f>
        <v/>
      </c>
      <c r="N355" s="5" t="n"/>
      <c r="O355" s="5" t="n"/>
    </row>
    <row r="356">
      <c r="A356">
        <f>IF('Blind Count Entry'!A354="","",'Blind Count Entry'!A354)</f>
        <v/>
      </c>
      <c r="B356" s="16">
        <f>IF($A356="","",'Blind Count Entry'!B354)</f>
        <v/>
      </c>
      <c r="C356">
        <f>IF($A356="","",'Blind Count Entry'!C354)</f>
        <v/>
      </c>
      <c r="D356">
        <f>IF($A356="","",'Blind Count Entry'!D354)</f>
        <v/>
      </c>
      <c r="E356">
        <f>IF($A356="","",IFERROR(INDEX('ABC Analysis'!$F:$F,MATCH($C356,'ABC Analysis'!$A:$A,0)),""))</f>
        <v/>
      </c>
      <c r="F356">
        <f>IF($A356="","",IFERROR(INDEX('Master Inventory'!$E:$E,MATCH($C356,'Master Inventory'!$A:$A,0)),0))</f>
        <v/>
      </c>
      <c r="G356">
        <f>IF($A356="","",'Blind Count Entry'!F354)</f>
        <v/>
      </c>
      <c r="H356">
        <f>IF($A356="","",G356-F356)</f>
        <v/>
      </c>
      <c r="I356" s="17">
        <f>IF($A356="","",IF(F356=0,IF(H356=0,0,1),ABS(H356)/F356))</f>
        <v/>
      </c>
      <c r="J356" s="18">
        <f>IF($A356="","",IF($E356="A",$E$1,IF($E356="B",$G$1,$I$1)))</f>
        <v/>
      </c>
      <c r="K356">
        <f>IF($A356="","",IF(H356=0,"MATCH",IF(I356&gt;J356,"RECOUNT","WITHIN TOLERANCE")))</f>
        <v/>
      </c>
      <c r="L356" s="5" t="n"/>
      <c r="M356">
        <f>IF(OR($A356="",$L356=""),"",L356-F356)</f>
        <v/>
      </c>
      <c r="N356" s="5" t="n"/>
      <c r="O356" s="5" t="n"/>
    </row>
    <row r="357">
      <c r="A357">
        <f>IF('Blind Count Entry'!A355="","",'Blind Count Entry'!A355)</f>
        <v/>
      </c>
      <c r="B357" s="16">
        <f>IF($A357="","",'Blind Count Entry'!B355)</f>
        <v/>
      </c>
      <c r="C357">
        <f>IF($A357="","",'Blind Count Entry'!C355)</f>
        <v/>
      </c>
      <c r="D357">
        <f>IF($A357="","",'Blind Count Entry'!D355)</f>
        <v/>
      </c>
      <c r="E357">
        <f>IF($A357="","",IFERROR(INDEX('ABC Analysis'!$F:$F,MATCH($C357,'ABC Analysis'!$A:$A,0)),""))</f>
        <v/>
      </c>
      <c r="F357">
        <f>IF($A357="","",IFERROR(INDEX('Master Inventory'!$E:$E,MATCH($C357,'Master Inventory'!$A:$A,0)),0))</f>
        <v/>
      </c>
      <c r="G357">
        <f>IF($A357="","",'Blind Count Entry'!F355)</f>
        <v/>
      </c>
      <c r="H357">
        <f>IF($A357="","",G357-F357)</f>
        <v/>
      </c>
      <c r="I357" s="17">
        <f>IF($A357="","",IF(F357=0,IF(H357=0,0,1),ABS(H357)/F357))</f>
        <v/>
      </c>
      <c r="J357" s="18">
        <f>IF($A357="","",IF($E357="A",$E$1,IF($E357="B",$G$1,$I$1)))</f>
        <v/>
      </c>
      <c r="K357">
        <f>IF($A357="","",IF(H357=0,"MATCH",IF(I357&gt;J357,"RECOUNT","WITHIN TOLERANCE")))</f>
        <v/>
      </c>
      <c r="L357" s="5" t="n"/>
      <c r="M357">
        <f>IF(OR($A357="",$L357=""),"",L357-F357)</f>
        <v/>
      </c>
      <c r="N357" s="5" t="n"/>
      <c r="O357" s="5" t="n"/>
    </row>
    <row r="358">
      <c r="A358">
        <f>IF('Blind Count Entry'!A356="","",'Blind Count Entry'!A356)</f>
        <v/>
      </c>
      <c r="B358" s="16">
        <f>IF($A358="","",'Blind Count Entry'!B356)</f>
        <v/>
      </c>
      <c r="C358">
        <f>IF($A358="","",'Blind Count Entry'!C356)</f>
        <v/>
      </c>
      <c r="D358">
        <f>IF($A358="","",'Blind Count Entry'!D356)</f>
        <v/>
      </c>
      <c r="E358">
        <f>IF($A358="","",IFERROR(INDEX('ABC Analysis'!$F:$F,MATCH($C358,'ABC Analysis'!$A:$A,0)),""))</f>
        <v/>
      </c>
      <c r="F358">
        <f>IF($A358="","",IFERROR(INDEX('Master Inventory'!$E:$E,MATCH($C358,'Master Inventory'!$A:$A,0)),0))</f>
        <v/>
      </c>
      <c r="G358">
        <f>IF($A358="","",'Blind Count Entry'!F356)</f>
        <v/>
      </c>
      <c r="H358">
        <f>IF($A358="","",G358-F358)</f>
        <v/>
      </c>
      <c r="I358" s="17">
        <f>IF($A358="","",IF(F358=0,IF(H358=0,0,1),ABS(H358)/F358))</f>
        <v/>
      </c>
      <c r="J358" s="18">
        <f>IF($A358="","",IF($E358="A",$E$1,IF($E358="B",$G$1,$I$1)))</f>
        <v/>
      </c>
      <c r="K358">
        <f>IF($A358="","",IF(H358=0,"MATCH",IF(I358&gt;J358,"RECOUNT","WITHIN TOLERANCE")))</f>
        <v/>
      </c>
      <c r="L358" s="5" t="n"/>
      <c r="M358">
        <f>IF(OR($A358="",$L358=""),"",L358-F358)</f>
        <v/>
      </c>
      <c r="N358" s="5" t="n"/>
      <c r="O358" s="5" t="n"/>
    </row>
    <row r="359">
      <c r="A359">
        <f>IF('Blind Count Entry'!A357="","",'Blind Count Entry'!A357)</f>
        <v/>
      </c>
      <c r="B359" s="16">
        <f>IF($A359="","",'Blind Count Entry'!B357)</f>
        <v/>
      </c>
      <c r="C359">
        <f>IF($A359="","",'Blind Count Entry'!C357)</f>
        <v/>
      </c>
      <c r="D359">
        <f>IF($A359="","",'Blind Count Entry'!D357)</f>
        <v/>
      </c>
      <c r="E359">
        <f>IF($A359="","",IFERROR(INDEX('ABC Analysis'!$F:$F,MATCH($C359,'ABC Analysis'!$A:$A,0)),""))</f>
        <v/>
      </c>
      <c r="F359">
        <f>IF($A359="","",IFERROR(INDEX('Master Inventory'!$E:$E,MATCH($C359,'Master Inventory'!$A:$A,0)),0))</f>
        <v/>
      </c>
      <c r="G359">
        <f>IF($A359="","",'Blind Count Entry'!F357)</f>
        <v/>
      </c>
      <c r="H359">
        <f>IF($A359="","",G359-F359)</f>
        <v/>
      </c>
      <c r="I359" s="17">
        <f>IF($A359="","",IF(F359=0,IF(H359=0,0,1),ABS(H359)/F359))</f>
        <v/>
      </c>
      <c r="J359" s="18">
        <f>IF($A359="","",IF($E359="A",$E$1,IF($E359="B",$G$1,$I$1)))</f>
        <v/>
      </c>
      <c r="K359">
        <f>IF($A359="","",IF(H359=0,"MATCH",IF(I359&gt;J359,"RECOUNT","WITHIN TOLERANCE")))</f>
        <v/>
      </c>
      <c r="L359" s="5" t="n"/>
      <c r="M359">
        <f>IF(OR($A359="",$L359=""),"",L359-F359)</f>
        <v/>
      </c>
      <c r="N359" s="5" t="n"/>
      <c r="O359" s="5" t="n"/>
    </row>
    <row r="360">
      <c r="A360">
        <f>IF('Blind Count Entry'!A358="","",'Blind Count Entry'!A358)</f>
        <v/>
      </c>
      <c r="B360" s="16">
        <f>IF($A360="","",'Blind Count Entry'!B358)</f>
        <v/>
      </c>
      <c r="C360">
        <f>IF($A360="","",'Blind Count Entry'!C358)</f>
        <v/>
      </c>
      <c r="D360">
        <f>IF($A360="","",'Blind Count Entry'!D358)</f>
        <v/>
      </c>
      <c r="E360">
        <f>IF($A360="","",IFERROR(INDEX('ABC Analysis'!$F:$F,MATCH($C360,'ABC Analysis'!$A:$A,0)),""))</f>
        <v/>
      </c>
      <c r="F360">
        <f>IF($A360="","",IFERROR(INDEX('Master Inventory'!$E:$E,MATCH($C360,'Master Inventory'!$A:$A,0)),0))</f>
        <v/>
      </c>
      <c r="G360">
        <f>IF($A360="","",'Blind Count Entry'!F358)</f>
        <v/>
      </c>
      <c r="H360">
        <f>IF($A360="","",G360-F360)</f>
        <v/>
      </c>
      <c r="I360" s="17">
        <f>IF($A360="","",IF(F360=0,IF(H360=0,0,1),ABS(H360)/F360))</f>
        <v/>
      </c>
      <c r="J360" s="18">
        <f>IF($A360="","",IF($E360="A",$E$1,IF($E360="B",$G$1,$I$1)))</f>
        <v/>
      </c>
      <c r="K360">
        <f>IF($A360="","",IF(H360=0,"MATCH",IF(I360&gt;J360,"RECOUNT","WITHIN TOLERANCE")))</f>
        <v/>
      </c>
      <c r="L360" s="5" t="n"/>
      <c r="M360">
        <f>IF(OR($A360="",$L360=""),"",L360-F360)</f>
        <v/>
      </c>
      <c r="N360" s="5" t="n"/>
      <c r="O360" s="5" t="n"/>
    </row>
    <row r="361">
      <c r="A361">
        <f>IF('Blind Count Entry'!A359="","",'Blind Count Entry'!A359)</f>
        <v/>
      </c>
      <c r="B361" s="16">
        <f>IF($A361="","",'Blind Count Entry'!B359)</f>
        <v/>
      </c>
      <c r="C361">
        <f>IF($A361="","",'Blind Count Entry'!C359)</f>
        <v/>
      </c>
      <c r="D361">
        <f>IF($A361="","",'Blind Count Entry'!D359)</f>
        <v/>
      </c>
      <c r="E361">
        <f>IF($A361="","",IFERROR(INDEX('ABC Analysis'!$F:$F,MATCH($C361,'ABC Analysis'!$A:$A,0)),""))</f>
        <v/>
      </c>
      <c r="F361">
        <f>IF($A361="","",IFERROR(INDEX('Master Inventory'!$E:$E,MATCH($C361,'Master Inventory'!$A:$A,0)),0))</f>
        <v/>
      </c>
      <c r="G361">
        <f>IF($A361="","",'Blind Count Entry'!F359)</f>
        <v/>
      </c>
      <c r="H361">
        <f>IF($A361="","",G361-F361)</f>
        <v/>
      </c>
      <c r="I361" s="17">
        <f>IF($A361="","",IF(F361=0,IF(H361=0,0,1),ABS(H361)/F361))</f>
        <v/>
      </c>
      <c r="J361" s="18">
        <f>IF($A361="","",IF($E361="A",$E$1,IF($E361="B",$G$1,$I$1)))</f>
        <v/>
      </c>
      <c r="K361">
        <f>IF($A361="","",IF(H361=0,"MATCH",IF(I361&gt;J361,"RECOUNT","WITHIN TOLERANCE")))</f>
        <v/>
      </c>
      <c r="L361" s="5" t="n"/>
      <c r="M361">
        <f>IF(OR($A361="",$L361=""),"",L361-F361)</f>
        <v/>
      </c>
      <c r="N361" s="5" t="n"/>
      <c r="O361" s="5" t="n"/>
    </row>
    <row r="362">
      <c r="A362">
        <f>IF('Blind Count Entry'!A360="","",'Blind Count Entry'!A360)</f>
        <v/>
      </c>
      <c r="B362" s="16">
        <f>IF($A362="","",'Blind Count Entry'!B360)</f>
        <v/>
      </c>
      <c r="C362">
        <f>IF($A362="","",'Blind Count Entry'!C360)</f>
        <v/>
      </c>
      <c r="D362">
        <f>IF($A362="","",'Blind Count Entry'!D360)</f>
        <v/>
      </c>
      <c r="E362">
        <f>IF($A362="","",IFERROR(INDEX('ABC Analysis'!$F:$F,MATCH($C362,'ABC Analysis'!$A:$A,0)),""))</f>
        <v/>
      </c>
      <c r="F362">
        <f>IF($A362="","",IFERROR(INDEX('Master Inventory'!$E:$E,MATCH($C362,'Master Inventory'!$A:$A,0)),0))</f>
        <v/>
      </c>
      <c r="G362">
        <f>IF($A362="","",'Blind Count Entry'!F360)</f>
        <v/>
      </c>
      <c r="H362">
        <f>IF($A362="","",G362-F362)</f>
        <v/>
      </c>
      <c r="I362" s="17">
        <f>IF($A362="","",IF(F362=0,IF(H362=0,0,1),ABS(H362)/F362))</f>
        <v/>
      </c>
      <c r="J362" s="18">
        <f>IF($A362="","",IF($E362="A",$E$1,IF($E362="B",$G$1,$I$1)))</f>
        <v/>
      </c>
      <c r="K362">
        <f>IF($A362="","",IF(H362=0,"MATCH",IF(I362&gt;J362,"RECOUNT","WITHIN TOLERANCE")))</f>
        <v/>
      </c>
      <c r="L362" s="5" t="n"/>
      <c r="M362">
        <f>IF(OR($A362="",$L362=""),"",L362-F362)</f>
        <v/>
      </c>
      <c r="N362" s="5" t="n"/>
      <c r="O362" s="5" t="n"/>
    </row>
    <row r="363">
      <c r="A363">
        <f>IF('Blind Count Entry'!A361="","",'Blind Count Entry'!A361)</f>
        <v/>
      </c>
      <c r="B363" s="16">
        <f>IF($A363="","",'Blind Count Entry'!B361)</f>
        <v/>
      </c>
      <c r="C363">
        <f>IF($A363="","",'Blind Count Entry'!C361)</f>
        <v/>
      </c>
      <c r="D363">
        <f>IF($A363="","",'Blind Count Entry'!D361)</f>
        <v/>
      </c>
      <c r="E363">
        <f>IF($A363="","",IFERROR(INDEX('ABC Analysis'!$F:$F,MATCH($C363,'ABC Analysis'!$A:$A,0)),""))</f>
        <v/>
      </c>
      <c r="F363">
        <f>IF($A363="","",IFERROR(INDEX('Master Inventory'!$E:$E,MATCH($C363,'Master Inventory'!$A:$A,0)),0))</f>
        <v/>
      </c>
      <c r="G363">
        <f>IF($A363="","",'Blind Count Entry'!F361)</f>
        <v/>
      </c>
      <c r="H363">
        <f>IF($A363="","",G363-F363)</f>
        <v/>
      </c>
      <c r="I363" s="17">
        <f>IF($A363="","",IF(F363=0,IF(H363=0,0,1),ABS(H363)/F363))</f>
        <v/>
      </c>
      <c r="J363" s="18">
        <f>IF($A363="","",IF($E363="A",$E$1,IF($E363="B",$G$1,$I$1)))</f>
        <v/>
      </c>
      <c r="K363">
        <f>IF($A363="","",IF(H363=0,"MATCH",IF(I363&gt;J363,"RECOUNT","WITHIN TOLERANCE")))</f>
        <v/>
      </c>
      <c r="L363" s="5" t="n"/>
      <c r="M363">
        <f>IF(OR($A363="",$L363=""),"",L363-F363)</f>
        <v/>
      </c>
      <c r="N363" s="5" t="n"/>
      <c r="O363" s="5" t="n"/>
    </row>
    <row r="364">
      <c r="A364">
        <f>IF('Blind Count Entry'!A362="","",'Blind Count Entry'!A362)</f>
        <v/>
      </c>
      <c r="B364" s="16">
        <f>IF($A364="","",'Blind Count Entry'!B362)</f>
        <v/>
      </c>
      <c r="C364">
        <f>IF($A364="","",'Blind Count Entry'!C362)</f>
        <v/>
      </c>
      <c r="D364">
        <f>IF($A364="","",'Blind Count Entry'!D362)</f>
        <v/>
      </c>
      <c r="E364">
        <f>IF($A364="","",IFERROR(INDEX('ABC Analysis'!$F:$F,MATCH($C364,'ABC Analysis'!$A:$A,0)),""))</f>
        <v/>
      </c>
      <c r="F364">
        <f>IF($A364="","",IFERROR(INDEX('Master Inventory'!$E:$E,MATCH($C364,'Master Inventory'!$A:$A,0)),0))</f>
        <v/>
      </c>
      <c r="G364">
        <f>IF($A364="","",'Blind Count Entry'!F362)</f>
        <v/>
      </c>
      <c r="H364">
        <f>IF($A364="","",G364-F364)</f>
        <v/>
      </c>
      <c r="I364" s="17">
        <f>IF($A364="","",IF(F364=0,IF(H364=0,0,1),ABS(H364)/F364))</f>
        <v/>
      </c>
      <c r="J364" s="18">
        <f>IF($A364="","",IF($E364="A",$E$1,IF($E364="B",$G$1,$I$1)))</f>
        <v/>
      </c>
      <c r="K364">
        <f>IF($A364="","",IF(H364=0,"MATCH",IF(I364&gt;J364,"RECOUNT","WITHIN TOLERANCE")))</f>
        <v/>
      </c>
      <c r="L364" s="5" t="n"/>
      <c r="M364">
        <f>IF(OR($A364="",$L364=""),"",L364-F364)</f>
        <v/>
      </c>
      <c r="N364" s="5" t="n"/>
      <c r="O364" s="5" t="n"/>
    </row>
    <row r="365">
      <c r="A365">
        <f>IF('Blind Count Entry'!A363="","",'Blind Count Entry'!A363)</f>
        <v/>
      </c>
      <c r="B365" s="16">
        <f>IF($A365="","",'Blind Count Entry'!B363)</f>
        <v/>
      </c>
      <c r="C365">
        <f>IF($A365="","",'Blind Count Entry'!C363)</f>
        <v/>
      </c>
      <c r="D365">
        <f>IF($A365="","",'Blind Count Entry'!D363)</f>
        <v/>
      </c>
      <c r="E365">
        <f>IF($A365="","",IFERROR(INDEX('ABC Analysis'!$F:$F,MATCH($C365,'ABC Analysis'!$A:$A,0)),""))</f>
        <v/>
      </c>
      <c r="F365">
        <f>IF($A365="","",IFERROR(INDEX('Master Inventory'!$E:$E,MATCH($C365,'Master Inventory'!$A:$A,0)),0))</f>
        <v/>
      </c>
      <c r="G365">
        <f>IF($A365="","",'Blind Count Entry'!F363)</f>
        <v/>
      </c>
      <c r="H365">
        <f>IF($A365="","",G365-F365)</f>
        <v/>
      </c>
      <c r="I365" s="17">
        <f>IF($A365="","",IF(F365=0,IF(H365=0,0,1),ABS(H365)/F365))</f>
        <v/>
      </c>
      <c r="J365" s="18">
        <f>IF($A365="","",IF($E365="A",$E$1,IF($E365="B",$G$1,$I$1)))</f>
        <v/>
      </c>
      <c r="K365">
        <f>IF($A365="","",IF(H365=0,"MATCH",IF(I365&gt;J365,"RECOUNT","WITHIN TOLERANCE")))</f>
        <v/>
      </c>
      <c r="L365" s="5" t="n"/>
      <c r="M365">
        <f>IF(OR($A365="",$L365=""),"",L365-F365)</f>
        <v/>
      </c>
      <c r="N365" s="5" t="n"/>
      <c r="O365" s="5" t="n"/>
    </row>
    <row r="366">
      <c r="A366">
        <f>IF('Blind Count Entry'!A364="","",'Blind Count Entry'!A364)</f>
        <v/>
      </c>
      <c r="B366" s="16">
        <f>IF($A366="","",'Blind Count Entry'!B364)</f>
        <v/>
      </c>
      <c r="C366">
        <f>IF($A366="","",'Blind Count Entry'!C364)</f>
        <v/>
      </c>
      <c r="D366">
        <f>IF($A366="","",'Blind Count Entry'!D364)</f>
        <v/>
      </c>
      <c r="E366">
        <f>IF($A366="","",IFERROR(INDEX('ABC Analysis'!$F:$F,MATCH($C366,'ABC Analysis'!$A:$A,0)),""))</f>
        <v/>
      </c>
      <c r="F366">
        <f>IF($A366="","",IFERROR(INDEX('Master Inventory'!$E:$E,MATCH($C366,'Master Inventory'!$A:$A,0)),0))</f>
        <v/>
      </c>
      <c r="G366">
        <f>IF($A366="","",'Blind Count Entry'!F364)</f>
        <v/>
      </c>
      <c r="H366">
        <f>IF($A366="","",G366-F366)</f>
        <v/>
      </c>
      <c r="I366" s="17">
        <f>IF($A366="","",IF(F366=0,IF(H366=0,0,1),ABS(H366)/F366))</f>
        <v/>
      </c>
      <c r="J366" s="18">
        <f>IF($A366="","",IF($E366="A",$E$1,IF($E366="B",$G$1,$I$1)))</f>
        <v/>
      </c>
      <c r="K366">
        <f>IF($A366="","",IF(H366=0,"MATCH",IF(I366&gt;J366,"RECOUNT","WITHIN TOLERANCE")))</f>
        <v/>
      </c>
      <c r="L366" s="5" t="n"/>
      <c r="M366">
        <f>IF(OR($A366="",$L366=""),"",L366-F366)</f>
        <v/>
      </c>
      <c r="N366" s="5" t="n"/>
      <c r="O366" s="5" t="n"/>
    </row>
    <row r="367">
      <c r="A367">
        <f>IF('Blind Count Entry'!A365="","",'Blind Count Entry'!A365)</f>
        <v/>
      </c>
      <c r="B367" s="16">
        <f>IF($A367="","",'Blind Count Entry'!B365)</f>
        <v/>
      </c>
      <c r="C367">
        <f>IF($A367="","",'Blind Count Entry'!C365)</f>
        <v/>
      </c>
      <c r="D367">
        <f>IF($A367="","",'Blind Count Entry'!D365)</f>
        <v/>
      </c>
      <c r="E367">
        <f>IF($A367="","",IFERROR(INDEX('ABC Analysis'!$F:$F,MATCH($C367,'ABC Analysis'!$A:$A,0)),""))</f>
        <v/>
      </c>
      <c r="F367">
        <f>IF($A367="","",IFERROR(INDEX('Master Inventory'!$E:$E,MATCH($C367,'Master Inventory'!$A:$A,0)),0))</f>
        <v/>
      </c>
      <c r="G367">
        <f>IF($A367="","",'Blind Count Entry'!F365)</f>
        <v/>
      </c>
      <c r="H367">
        <f>IF($A367="","",G367-F367)</f>
        <v/>
      </c>
      <c r="I367" s="17">
        <f>IF($A367="","",IF(F367=0,IF(H367=0,0,1),ABS(H367)/F367))</f>
        <v/>
      </c>
      <c r="J367" s="18">
        <f>IF($A367="","",IF($E367="A",$E$1,IF($E367="B",$G$1,$I$1)))</f>
        <v/>
      </c>
      <c r="K367">
        <f>IF($A367="","",IF(H367=0,"MATCH",IF(I367&gt;J367,"RECOUNT","WITHIN TOLERANCE")))</f>
        <v/>
      </c>
      <c r="L367" s="5" t="n"/>
      <c r="M367">
        <f>IF(OR($A367="",$L367=""),"",L367-F367)</f>
        <v/>
      </c>
      <c r="N367" s="5" t="n"/>
      <c r="O367" s="5" t="n"/>
    </row>
    <row r="368">
      <c r="A368">
        <f>IF('Blind Count Entry'!A366="","",'Blind Count Entry'!A366)</f>
        <v/>
      </c>
      <c r="B368" s="16">
        <f>IF($A368="","",'Blind Count Entry'!B366)</f>
        <v/>
      </c>
      <c r="C368">
        <f>IF($A368="","",'Blind Count Entry'!C366)</f>
        <v/>
      </c>
      <c r="D368">
        <f>IF($A368="","",'Blind Count Entry'!D366)</f>
        <v/>
      </c>
      <c r="E368">
        <f>IF($A368="","",IFERROR(INDEX('ABC Analysis'!$F:$F,MATCH($C368,'ABC Analysis'!$A:$A,0)),""))</f>
        <v/>
      </c>
      <c r="F368">
        <f>IF($A368="","",IFERROR(INDEX('Master Inventory'!$E:$E,MATCH($C368,'Master Inventory'!$A:$A,0)),0))</f>
        <v/>
      </c>
      <c r="G368">
        <f>IF($A368="","",'Blind Count Entry'!F366)</f>
        <v/>
      </c>
      <c r="H368">
        <f>IF($A368="","",G368-F368)</f>
        <v/>
      </c>
      <c r="I368" s="17">
        <f>IF($A368="","",IF(F368=0,IF(H368=0,0,1),ABS(H368)/F368))</f>
        <v/>
      </c>
      <c r="J368" s="18">
        <f>IF($A368="","",IF($E368="A",$E$1,IF($E368="B",$G$1,$I$1)))</f>
        <v/>
      </c>
      <c r="K368">
        <f>IF($A368="","",IF(H368=0,"MATCH",IF(I368&gt;J368,"RECOUNT","WITHIN TOLERANCE")))</f>
        <v/>
      </c>
      <c r="L368" s="5" t="n"/>
      <c r="M368">
        <f>IF(OR($A368="",$L368=""),"",L368-F368)</f>
        <v/>
      </c>
      <c r="N368" s="5" t="n"/>
      <c r="O368" s="5" t="n"/>
    </row>
    <row r="369">
      <c r="A369">
        <f>IF('Blind Count Entry'!A367="","",'Blind Count Entry'!A367)</f>
        <v/>
      </c>
      <c r="B369" s="16">
        <f>IF($A369="","",'Blind Count Entry'!B367)</f>
        <v/>
      </c>
      <c r="C369">
        <f>IF($A369="","",'Blind Count Entry'!C367)</f>
        <v/>
      </c>
      <c r="D369">
        <f>IF($A369="","",'Blind Count Entry'!D367)</f>
        <v/>
      </c>
      <c r="E369">
        <f>IF($A369="","",IFERROR(INDEX('ABC Analysis'!$F:$F,MATCH($C369,'ABC Analysis'!$A:$A,0)),""))</f>
        <v/>
      </c>
      <c r="F369">
        <f>IF($A369="","",IFERROR(INDEX('Master Inventory'!$E:$E,MATCH($C369,'Master Inventory'!$A:$A,0)),0))</f>
        <v/>
      </c>
      <c r="G369">
        <f>IF($A369="","",'Blind Count Entry'!F367)</f>
        <v/>
      </c>
      <c r="H369">
        <f>IF($A369="","",G369-F369)</f>
        <v/>
      </c>
      <c r="I369" s="17">
        <f>IF($A369="","",IF(F369=0,IF(H369=0,0,1),ABS(H369)/F369))</f>
        <v/>
      </c>
      <c r="J369" s="18">
        <f>IF($A369="","",IF($E369="A",$E$1,IF($E369="B",$G$1,$I$1)))</f>
        <v/>
      </c>
      <c r="K369">
        <f>IF($A369="","",IF(H369=0,"MATCH",IF(I369&gt;J369,"RECOUNT","WITHIN TOLERANCE")))</f>
        <v/>
      </c>
      <c r="L369" s="5" t="n"/>
      <c r="M369">
        <f>IF(OR($A369="",$L369=""),"",L369-F369)</f>
        <v/>
      </c>
      <c r="N369" s="5" t="n"/>
      <c r="O369" s="5" t="n"/>
    </row>
    <row r="370">
      <c r="A370">
        <f>IF('Blind Count Entry'!A368="","",'Blind Count Entry'!A368)</f>
        <v/>
      </c>
      <c r="B370" s="16">
        <f>IF($A370="","",'Blind Count Entry'!B368)</f>
        <v/>
      </c>
      <c r="C370">
        <f>IF($A370="","",'Blind Count Entry'!C368)</f>
        <v/>
      </c>
      <c r="D370">
        <f>IF($A370="","",'Blind Count Entry'!D368)</f>
        <v/>
      </c>
      <c r="E370">
        <f>IF($A370="","",IFERROR(INDEX('ABC Analysis'!$F:$F,MATCH($C370,'ABC Analysis'!$A:$A,0)),""))</f>
        <v/>
      </c>
      <c r="F370">
        <f>IF($A370="","",IFERROR(INDEX('Master Inventory'!$E:$E,MATCH($C370,'Master Inventory'!$A:$A,0)),0))</f>
        <v/>
      </c>
      <c r="G370">
        <f>IF($A370="","",'Blind Count Entry'!F368)</f>
        <v/>
      </c>
      <c r="H370">
        <f>IF($A370="","",G370-F370)</f>
        <v/>
      </c>
      <c r="I370" s="17">
        <f>IF($A370="","",IF(F370=0,IF(H370=0,0,1),ABS(H370)/F370))</f>
        <v/>
      </c>
      <c r="J370" s="18">
        <f>IF($A370="","",IF($E370="A",$E$1,IF($E370="B",$G$1,$I$1)))</f>
        <v/>
      </c>
      <c r="K370">
        <f>IF($A370="","",IF(H370=0,"MATCH",IF(I370&gt;J370,"RECOUNT","WITHIN TOLERANCE")))</f>
        <v/>
      </c>
      <c r="L370" s="5" t="n"/>
      <c r="M370">
        <f>IF(OR($A370="",$L370=""),"",L370-F370)</f>
        <v/>
      </c>
      <c r="N370" s="5" t="n"/>
      <c r="O370" s="5" t="n"/>
    </row>
    <row r="371">
      <c r="A371">
        <f>IF('Blind Count Entry'!A369="","",'Blind Count Entry'!A369)</f>
        <v/>
      </c>
      <c r="B371" s="16">
        <f>IF($A371="","",'Blind Count Entry'!B369)</f>
        <v/>
      </c>
      <c r="C371">
        <f>IF($A371="","",'Blind Count Entry'!C369)</f>
        <v/>
      </c>
      <c r="D371">
        <f>IF($A371="","",'Blind Count Entry'!D369)</f>
        <v/>
      </c>
      <c r="E371">
        <f>IF($A371="","",IFERROR(INDEX('ABC Analysis'!$F:$F,MATCH($C371,'ABC Analysis'!$A:$A,0)),""))</f>
        <v/>
      </c>
      <c r="F371">
        <f>IF($A371="","",IFERROR(INDEX('Master Inventory'!$E:$E,MATCH($C371,'Master Inventory'!$A:$A,0)),0))</f>
        <v/>
      </c>
      <c r="G371">
        <f>IF($A371="","",'Blind Count Entry'!F369)</f>
        <v/>
      </c>
      <c r="H371">
        <f>IF($A371="","",G371-F371)</f>
        <v/>
      </c>
      <c r="I371" s="17">
        <f>IF($A371="","",IF(F371=0,IF(H371=0,0,1),ABS(H371)/F371))</f>
        <v/>
      </c>
      <c r="J371" s="18">
        <f>IF($A371="","",IF($E371="A",$E$1,IF($E371="B",$G$1,$I$1)))</f>
        <v/>
      </c>
      <c r="K371">
        <f>IF($A371="","",IF(H371=0,"MATCH",IF(I371&gt;J371,"RECOUNT","WITHIN TOLERANCE")))</f>
        <v/>
      </c>
      <c r="L371" s="5" t="n"/>
      <c r="M371">
        <f>IF(OR($A371="",$L371=""),"",L371-F371)</f>
        <v/>
      </c>
      <c r="N371" s="5" t="n"/>
      <c r="O371" s="5" t="n"/>
    </row>
    <row r="372">
      <c r="A372">
        <f>IF('Blind Count Entry'!A370="","",'Blind Count Entry'!A370)</f>
        <v/>
      </c>
      <c r="B372" s="16">
        <f>IF($A372="","",'Blind Count Entry'!B370)</f>
        <v/>
      </c>
      <c r="C372">
        <f>IF($A372="","",'Blind Count Entry'!C370)</f>
        <v/>
      </c>
      <c r="D372">
        <f>IF($A372="","",'Blind Count Entry'!D370)</f>
        <v/>
      </c>
      <c r="E372">
        <f>IF($A372="","",IFERROR(INDEX('ABC Analysis'!$F:$F,MATCH($C372,'ABC Analysis'!$A:$A,0)),""))</f>
        <v/>
      </c>
      <c r="F372">
        <f>IF($A372="","",IFERROR(INDEX('Master Inventory'!$E:$E,MATCH($C372,'Master Inventory'!$A:$A,0)),0))</f>
        <v/>
      </c>
      <c r="G372">
        <f>IF($A372="","",'Blind Count Entry'!F370)</f>
        <v/>
      </c>
      <c r="H372">
        <f>IF($A372="","",G372-F372)</f>
        <v/>
      </c>
      <c r="I372" s="17">
        <f>IF($A372="","",IF(F372=0,IF(H372=0,0,1),ABS(H372)/F372))</f>
        <v/>
      </c>
      <c r="J372" s="18">
        <f>IF($A372="","",IF($E372="A",$E$1,IF($E372="B",$G$1,$I$1)))</f>
        <v/>
      </c>
      <c r="K372">
        <f>IF($A372="","",IF(H372=0,"MATCH",IF(I372&gt;J372,"RECOUNT","WITHIN TOLERANCE")))</f>
        <v/>
      </c>
      <c r="L372" s="5" t="n"/>
      <c r="M372">
        <f>IF(OR($A372="",$L372=""),"",L372-F372)</f>
        <v/>
      </c>
      <c r="N372" s="5" t="n"/>
      <c r="O372" s="5" t="n"/>
    </row>
    <row r="373">
      <c r="A373">
        <f>IF('Blind Count Entry'!A371="","",'Blind Count Entry'!A371)</f>
        <v/>
      </c>
      <c r="B373" s="16">
        <f>IF($A373="","",'Blind Count Entry'!B371)</f>
        <v/>
      </c>
      <c r="C373">
        <f>IF($A373="","",'Blind Count Entry'!C371)</f>
        <v/>
      </c>
      <c r="D373">
        <f>IF($A373="","",'Blind Count Entry'!D371)</f>
        <v/>
      </c>
      <c r="E373">
        <f>IF($A373="","",IFERROR(INDEX('ABC Analysis'!$F:$F,MATCH($C373,'ABC Analysis'!$A:$A,0)),""))</f>
        <v/>
      </c>
      <c r="F373">
        <f>IF($A373="","",IFERROR(INDEX('Master Inventory'!$E:$E,MATCH($C373,'Master Inventory'!$A:$A,0)),0))</f>
        <v/>
      </c>
      <c r="G373">
        <f>IF($A373="","",'Blind Count Entry'!F371)</f>
        <v/>
      </c>
      <c r="H373">
        <f>IF($A373="","",G373-F373)</f>
        <v/>
      </c>
      <c r="I373" s="17">
        <f>IF($A373="","",IF(F373=0,IF(H373=0,0,1),ABS(H373)/F373))</f>
        <v/>
      </c>
      <c r="J373" s="18">
        <f>IF($A373="","",IF($E373="A",$E$1,IF($E373="B",$G$1,$I$1)))</f>
        <v/>
      </c>
      <c r="K373">
        <f>IF($A373="","",IF(H373=0,"MATCH",IF(I373&gt;J373,"RECOUNT","WITHIN TOLERANCE")))</f>
        <v/>
      </c>
      <c r="L373" s="5" t="n"/>
      <c r="M373">
        <f>IF(OR($A373="",$L373=""),"",L373-F373)</f>
        <v/>
      </c>
      <c r="N373" s="5" t="n"/>
      <c r="O373" s="5" t="n"/>
    </row>
    <row r="374">
      <c r="A374">
        <f>IF('Blind Count Entry'!A372="","",'Blind Count Entry'!A372)</f>
        <v/>
      </c>
      <c r="B374" s="16">
        <f>IF($A374="","",'Blind Count Entry'!B372)</f>
        <v/>
      </c>
      <c r="C374">
        <f>IF($A374="","",'Blind Count Entry'!C372)</f>
        <v/>
      </c>
      <c r="D374">
        <f>IF($A374="","",'Blind Count Entry'!D372)</f>
        <v/>
      </c>
      <c r="E374">
        <f>IF($A374="","",IFERROR(INDEX('ABC Analysis'!$F:$F,MATCH($C374,'ABC Analysis'!$A:$A,0)),""))</f>
        <v/>
      </c>
      <c r="F374">
        <f>IF($A374="","",IFERROR(INDEX('Master Inventory'!$E:$E,MATCH($C374,'Master Inventory'!$A:$A,0)),0))</f>
        <v/>
      </c>
      <c r="G374">
        <f>IF($A374="","",'Blind Count Entry'!F372)</f>
        <v/>
      </c>
      <c r="H374">
        <f>IF($A374="","",G374-F374)</f>
        <v/>
      </c>
      <c r="I374" s="17">
        <f>IF($A374="","",IF(F374=0,IF(H374=0,0,1),ABS(H374)/F374))</f>
        <v/>
      </c>
      <c r="J374" s="18">
        <f>IF($A374="","",IF($E374="A",$E$1,IF($E374="B",$G$1,$I$1)))</f>
        <v/>
      </c>
      <c r="K374">
        <f>IF($A374="","",IF(H374=0,"MATCH",IF(I374&gt;J374,"RECOUNT","WITHIN TOLERANCE")))</f>
        <v/>
      </c>
      <c r="L374" s="5" t="n"/>
      <c r="M374">
        <f>IF(OR($A374="",$L374=""),"",L374-F374)</f>
        <v/>
      </c>
      <c r="N374" s="5" t="n"/>
      <c r="O374" s="5" t="n"/>
    </row>
    <row r="375">
      <c r="A375">
        <f>IF('Blind Count Entry'!A373="","",'Blind Count Entry'!A373)</f>
        <v/>
      </c>
      <c r="B375" s="16">
        <f>IF($A375="","",'Blind Count Entry'!B373)</f>
        <v/>
      </c>
      <c r="C375">
        <f>IF($A375="","",'Blind Count Entry'!C373)</f>
        <v/>
      </c>
      <c r="D375">
        <f>IF($A375="","",'Blind Count Entry'!D373)</f>
        <v/>
      </c>
      <c r="E375">
        <f>IF($A375="","",IFERROR(INDEX('ABC Analysis'!$F:$F,MATCH($C375,'ABC Analysis'!$A:$A,0)),""))</f>
        <v/>
      </c>
      <c r="F375">
        <f>IF($A375="","",IFERROR(INDEX('Master Inventory'!$E:$E,MATCH($C375,'Master Inventory'!$A:$A,0)),0))</f>
        <v/>
      </c>
      <c r="G375">
        <f>IF($A375="","",'Blind Count Entry'!F373)</f>
        <v/>
      </c>
      <c r="H375">
        <f>IF($A375="","",G375-F375)</f>
        <v/>
      </c>
      <c r="I375" s="17">
        <f>IF($A375="","",IF(F375=0,IF(H375=0,0,1),ABS(H375)/F375))</f>
        <v/>
      </c>
      <c r="J375" s="18">
        <f>IF($A375="","",IF($E375="A",$E$1,IF($E375="B",$G$1,$I$1)))</f>
        <v/>
      </c>
      <c r="K375">
        <f>IF($A375="","",IF(H375=0,"MATCH",IF(I375&gt;J375,"RECOUNT","WITHIN TOLERANCE")))</f>
        <v/>
      </c>
      <c r="L375" s="5" t="n"/>
      <c r="M375">
        <f>IF(OR($A375="",$L375=""),"",L375-F375)</f>
        <v/>
      </c>
      <c r="N375" s="5" t="n"/>
      <c r="O375" s="5" t="n"/>
    </row>
    <row r="376">
      <c r="A376">
        <f>IF('Blind Count Entry'!A374="","",'Blind Count Entry'!A374)</f>
        <v/>
      </c>
      <c r="B376" s="16">
        <f>IF($A376="","",'Blind Count Entry'!B374)</f>
        <v/>
      </c>
      <c r="C376">
        <f>IF($A376="","",'Blind Count Entry'!C374)</f>
        <v/>
      </c>
      <c r="D376">
        <f>IF($A376="","",'Blind Count Entry'!D374)</f>
        <v/>
      </c>
      <c r="E376">
        <f>IF($A376="","",IFERROR(INDEX('ABC Analysis'!$F:$F,MATCH($C376,'ABC Analysis'!$A:$A,0)),""))</f>
        <v/>
      </c>
      <c r="F376">
        <f>IF($A376="","",IFERROR(INDEX('Master Inventory'!$E:$E,MATCH($C376,'Master Inventory'!$A:$A,0)),0))</f>
        <v/>
      </c>
      <c r="G376">
        <f>IF($A376="","",'Blind Count Entry'!F374)</f>
        <v/>
      </c>
      <c r="H376">
        <f>IF($A376="","",G376-F376)</f>
        <v/>
      </c>
      <c r="I376" s="17">
        <f>IF($A376="","",IF(F376=0,IF(H376=0,0,1),ABS(H376)/F376))</f>
        <v/>
      </c>
      <c r="J376" s="18">
        <f>IF($A376="","",IF($E376="A",$E$1,IF($E376="B",$G$1,$I$1)))</f>
        <v/>
      </c>
      <c r="K376">
        <f>IF($A376="","",IF(H376=0,"MATCH",IF(I376&gt;J376,"RECOUNT","WITHIN TOLERANCE")))</f>
        <v/>
      </c>
      <c r="L376" s="5" t="n"/>
      <c r="M376">
        <f>IF(OR($A376="",$L376=""),"",L376-F376)</f>
        <v/>
      </c>
      <c r="N376" s="5" t="n"/>
      <c r="O376" s="5" t="n"/>
    </row>
    <row r="377">
      <c r="A377">
        <f>IF('Blind Count Entry'!A375="","",'Blind Count Entry'!A375)</f>
        <v/>
      </c>
      <c r="B377" s="16">
        <f>IF($A377="","",'Blind Count Entry'!B375)</f>
        <v/>
      </c>
      <c r="C377">
        <f>IF($A377="","",'Blind Count Entry'!C375)</f>
        <v/>
      </c>
      <c r="D377">
        <f>IF($A377="","",'Blind Count Entry'!D375)</f>
        <v/>
      </c>
      <c r="E377">
        <f>IF($A377="","",IFERROR(INDEX('ABC Analysis'!$F:$F,MATCH($C377,'ABC Analysis'!$A:$A,0)),""))</f>
        <v/>
      </c>
      <c r="F377">
        <f>IF($A377="","",IFERROR(INDEX('Master Inventory'!$E:$E,MATCH($C377,'Master Inventory'!$A:$A,0)),0))</f>
        <v/>
      </c>
      <c r="G377">
        <f>IF($A377="","",'Blind Count Entry'!F375)</f>
        <v/>
      </c>
      <c r="H377">
        <f>IF($A377="","",G377-F377)</f>
        <v/>
      </c>
      <c r="I377" s="17">
        <f>IF($A377="","",IF(F377=0,IF(H377=0,0,1),ABS(H377)/F377))</f>
        <v/>
      </c>
      <c r="J377" s="18">
        <f>IF($A377="","",IF($E377="A",$E$1,IF($E377="B",$G$1,$I$1)))</f>
        <v/>
      </c>
      <c r="K377">
        <f>IF($A377="","",IF(H377=0,"MATCH",IF(I377&gt;J377,"RECOUNT","WITHIN TOLERANCE")))</f>
        <v/>
      </c>
      <c r="L377" s="5" t="n"/>
      <c r="M377">
        <f>IF(OR($A377="",$L377=""),"",L377-F377)</f>
        <v/>
      </c>
      <c r="N377" s="5" t="n"/>
      <c r="O377" s="5" t="n"/>
    </row>
    <row r="378">
      <c r="A378">
        <f>IF('Blind Count Entry'!A376="","",'Blind Count Entry'!A376)</f>
        <v/>
      </c>
      <c r="B378" s="16">
        <f>IF($A378="","",'Blind Count Entry'!B376)</f>
        <v/>
      </c>
      <c r="C378">
        <f>IF($A378="","",'Blind Count Entry'!C376)</f>
        <v/>
      </c>
      <c r="D378">
        <f>IF($A378="","",'Blind Count Entry'!D376)</f>
        <v/>
      </c>
      <c r="E378">
        <f>IF($A378="","",IFERROR(INDEX('ABC Analysis'!$F:$F,MATCH($C378,'ABC Analysis'!$A:$A,0)),""))</f>
        <v/>
      </c>
      <c r="F378">
        <f>IF($A378="","",IFERROR(INDEX('Master Inventory'!$E:$E,MATCH($C378,'Master Inventory'!$A:$A,0)),0))</f>
        <v/>
      </c>
      <c r="G378">
        <f>IF($A378="","",'Blind Count Entry'!F376)</f>
        <v/>
      </c>
      <c r="H378">
        <f>IF($A378="","",G378-F378)</f>
        <v/>
      </c>
      <c r="I378" s="17">
        <f>IF($A378="","",IF(F378=0,IF(H378=0,0,1),ABS(H378)/F378))</f>
        <v/>
      </c>
      <c r="J378" s="18">
        <f>IF($A378="","",IF($E378="A",$E$1,IF($E378="B",$G$1,$I$1)))</f>
        <v/>
      </c>
      <c r="K378">
        <f>IF($A378="","",IF(H378=0,"MATCH",IF(I378&gt;J378,"RECOUNT","WITHIN TOLERANCE")))</f>
        <v/>
      </c>
      <c r="L378" s="5" t="n"/>
      <c r="M378">
        <f>IF(OR($A378="",$L378=""),"",L378-F378)</f>
        <v/>
      </c>
      <c r="N378" s="5" t="n"/>
      <c r="O378" s="5" t="n"/>
    </row>
    <row r="379">
      <c r="A379">
        <f>IF('Blind Count Entry'!A377="","",'Blind Count Entry'!A377)</f>
        <v/>
      </c>
      <c r="B379" s="16">
        <f>IF($A379="","",'Blind Count Entry'!B377)</f>
        <v/>
      </c>
      <c r="C379">
        <f>IF($A379="","",'Blind Count Entry'!C377)</f>
        <v/>
      </c>
      <c r="D379">
        <f>IF($A379="","",'Blind Count Entry'!D377)</f>
        <v/>
      </c>
      <c r="E379">
        <f>IF($A379="","",IFERROR(INDEX('ABC Analysis'!$F:$F,MATCH($C379,'ABC Analysis'!$A:$A,0)),""))</f>
        <v/>
      </c>
      <c r="F379">
        <f>IF($A379="","",IFERROR(INDEX('Master Inventory'!$E:$E,MATCH($C379,'Master Inventory'!$A:$A,0)),0))</f>
        <v/>
      </c>
      <c r="G379">
        <f>IF($A379="","",'Blind Count Entry'!F377)</f>
        <v/>
      </c>
      <c r="H379">
        <f>IF($A379="","",G379-F379)</f>
        <v/>
      </c>
      <c r="I379" s="17">
        <f>IF($A379="","",IF(F379=0,IF(H379=0,0,1),ABS(H379)/F379))</f>
        <v/>
      </c>
      <c r="J379" s="18">
        <f>IF($A379="","",IF($E379="A",$E$1,IF($E379="B",$G$1,$I$1)))</f>
        <v/>
      </c>
      <c r="K379">
        <f>IF($A379="","",IF(H379=0,"MATCH",IF(I379&gt;J379,"RECOUNT","WITHIN TOLERANCE")))</f>
        <v/>
      </c>
      <c r="L379" s="5" t="n"/>
      <c r="M379">
        <f>IF(OR($A379="",$L379=""),"",L379-F379)</f>
        <v/>
      </c>
      <c r="N379" s="5" t="n"/>
      <c r="O379" s="5" t="n"/>
    </row>
    <row r="380">
      <c r="A380">
        <f>IF('Blind Count Entry'!A378="","",'Blind Count Entry'!A378)</f>
        <v/>
      </c>
      <c r="B380" s="16">
        <f>IF($A380="","",'Blind Count Entry'!B378)</f>
        <v/>
      </c>
      <c r="C380">
        <f>IF($A380="","",'Blind Count Entry'!C378)</f>
        <v/>
      </c>
      <c r="D380">
        <f>IF($A380="","",'Blind Count Entry'!D378)</f>
        <v/>
      </c>
      <c r="E380">
        <f>IF($A380="","",IFERROR(INDEX('ABC Analysis'!$F:$F,MATCH($C380,'ABC Analysis'!$A:$A,0)),""))</f>
        <v/>
      </c>
      <c r="F380">
        <f>IF($A380="","",IFERROR(INDEX('Master Inventory'!$E:$E,MATCH($C380,'Master Inventory'!$A:$A,0)),0))</f>
        <v/>
      </c>
      <c r="G380">
        <f>IF($A380="","",'Blind Count Entry'!F378)</f>
        <v/>
      </c>
      <c r="H380">
        <f>IF($A380="","",G380-F380)</f>
        <v/>
      </c>
      <c r="I380" s="17">
        <f>IF($A380="","",IF(F380=0,IF(H380=0,0,1),ABS(H380)/F380))</f>
        <v/>
      </c>
      <c r="J380" s="18">
        <f>IF($A380="","",IF($E380="A",$E$1,IF($E380="B",$G$1,$I$1)))</f>
        <v/>
      </c>
      <c r="K380">
        <f>IF($A380="","",IF(H380=0,"MATCH",IF(I380&gt;J380,"RECOUNT","WITHIN TOLERANCE")))</f>
        <v/>
      </c>
      <c r="L380" s="5" t="n"/>
      <c r="M380">
        <f>IF(OR($A380="",$L380=""),"",L380-F380)</f>
        <v/>
      </c>
      <c r="N380" s="5" t="n"/>
      <c r="O380" s="5" t="n"/>
    </row>
    <row r="381">
      <c r="A381">
        <f>IF('Blind Count Entry'!A379="","",'Blind Count Entry'!A379)</f>
        <v/>
      </c>
      <c r="B381" s="16">
        <f>IF($A381="","",'Blind Count Entry'!B379)</f>
        <v/>
      </c>
      <c r="C381">
        <f>IF($A381="","",'Blind Count Entry'!C379)</f>
        <v/>
      </c>
      <c r="D381">
        <f>IF($A381="","",'Blind Count Entry'!D379)</f>
        <v/>
      </c>
      <c r="E381">
        <f>IF($A381="","",IFERROR(INDEX('ABC Analysis'!$F:$F,MATCH($C381,'ABC Analysis'!$A:$A,0)),""))</f>
        <v/>
      </c>
      <c r="F381">
        <f>IF($A381="","",IFERROR(INDEX('Master Inventory'!$E:$E,MATCH($C381,'Master Inventory'!$A:$A,0)),0))</f>
        <v/>
      </c>
      <c r="G381">
        <f>IF($A381="","",'Blind Count Entry'!F379)</f>
        <v/>
      </c>
      <c r="H381">
        <f>IF($A381="","",G381-F381)</f>
        <v/>
      </c>
      <c r="I381" s="17">
        <f>IF($A381="","",IF(F381=0,IF(H381=0,0,1),ABS(H381)/F381))</f>
        <v/>
      </c>
      <c r="J381" s="18">
        <f>IF($A381="","",IF($E381="A",$E$1,IF($E381="B",$G$1,$I$1)))</f>
        <v/>
      </c>
      <c r="K381">
        <f>IF($A381="","",IF(H381=0,"MATCH",IF(I381&gt;J381,"RECOUNT","WITHIN TOLERANCE")))</f>
        <v/>
      </c>
      <c r="L381" s="5" t="n"/>
      <c r="M381">
        <f>IF(OR($A381="",$L381=""),"",L381-F381)</f>
        <v/>
      </c>
      <c r="N381" s="5" t="n"/>
      <c r="O381" s="5" t="n"/>
    </row>
    <row r="382">
      <c r="A382">
        <f>IF('Blind Count Entry'!A380="","",'Blind Count Entry'!A380)</f>
        <v/>
      </c>
      <c r="B382" s="16">
        <f>IF($A382="","",'Blind Count Entry'!B380)</f>
        <v/>
      </c>
      <c r="C382">
        <f>IF($A382="","",'Blind Count Entry'!C380)</f>
        <v/>
      </c>
      <c r="D382">
        <f>IF($A382="","",'Blind Count Entry'!D380)</f>
        <v/>
      </c>
      <c r="E382">
        <f>IF($A382="","",IFERROR(INDEX('ABC Analysis'!$F:$F,MATCH($C382,'ABC Analysis'!$A:$A,0)),""))</f>
        <v/>
      </c>
      <c r="F382">
        <f>IF($A382="","",IFERROR(INDEX('Master Inventory'!$E:$E,MATCH($C382,'Master Inventory'!$A:$A,0)),0))</f>
        <v/>
      </c>
      <c r="G382">
        <f>IF($A382="","",'Blind Count Entry'!F380)</f>
        <v/>
      </c>
      <c r="H382">
        <f>IF($A382="","",G382-F382)</f>
        <v/>
      </c>
      <c r="I382" s="17">
        <f>IF($A382="","",IF(F382=0,IF(H382=0,0,1),ABS(H382)/F382))</f>
        <v/>
      </c>
      <c r="J382" s="18">
        <f>IF($A382="","",IF($E382="A",$E$1,IF($E382="B",$G$1,$I$1)))</f>
        <v/>
      </c>
      <c r="K382">
        <f>IF($A382="","",IF(H382=0,"MATCH",IF(I382&gt;J382,"RECOUNT","WITHIN TOLERANCE")))</f>
        <v/>
      </c>
      <c r="L382" s="5" t="n"/>
      <c r="M382">
        <f>IF(OR($A382="",$L382=""),"",L382-F382)</f>
        <v/>
      </c>
      <c r="N382" s="5" t="n"/>
      <c r="O382" s="5" t="n"/>
    </row>
    <row r="383">
      <c r="A383">
        <f>IF('Blind Count Entry'!A381="","",'Blind Count Entry'!A381)</f>
        <v/>
      </c>
      <c r="B383" s="16">
        <f>IF($A383="","",'Blind Count Entry'!B381)</f>
        <v/>
      </c>
      <c r="C383">
        <f>IF($A383="","",'Blind Count Entry'!C381)</f>
        <v/>
      </c>
      <c r="D383">
        <f>IF($A383="","",'Blind Count Entry'!D381)</f>
        <v/>
      </c>
      <c r="E383">
        <f>IF($A383="","",IFERROR(INDEX('ABC Analysis'!$F:$F,MATCH($C383,'ABC Analysis'!$A:$A,0)),""))</f>
        <v/>
      </c>
      <c r="F383">
        <f>IF($A383="","",IFERROR(INDEX('Master Inventory'!$E:$E,MATCH($C383,'Master Inventory'!$A:$A,0)),0))</f>
        <v/>
      </c>
      <c r="G383">
        <f>IF($A383="","",'Blind Count Entry'!F381)</f>
        <v/>
      </c>
      <c r="H383">
        <f>IF($A383="","",G383-F383)</f>
        <v/>
      </c>
      <c r="I383" s="17">
        <f>IF($A383="","",IF(F383=0,IF(H383=0,0,1),ABS(H383)/F383))</f>
        <v/>
      </c>
      <c r="J383" s="18">
        <f>IF($A383="","",IF($E383="A",$E$1,IF($E383="B",$G$1,$I$1)))</f>
        <v/>
      </c>
      <c r="K383">
        <f>IF($A383="","",IF(H383=0,"MATCH",IF(I383&gt;J383,"RECOUNT","WITHIN TOLERANCE")))</f>
        <v/>
      </c>
      <c r="L383" s="5" t="n"/>
      <c r="M383">
        <f>IF(OR($A383="",$L383=""),"",L383-F383)</f>
        <v/>
      </c>
      <c r="N383" s="5" t="n"/>
      <c r="O383" s="5" t="n"/>
    </row>
    <row r="384">
      <c r="A384">
        <f>IF('Blind Count Entry'!A382="","",'Blind Count Entry'!A382)</f>
        <v/>
      </c>
      <c r="B384" s="16">
        <f>IF($A384="","",'Blind Count Entry'!B382)</f>
        <v/>
      </c>
      <c r="C384">
        <f>IF($A384="","",'Blind Count Entry'!C382)</f>
        <v/>
      </c>
      <c r="D384">
        <f>IF($A384="","",'Blind Count Entry'!D382)</f>
        <v/>
      </c>
      <c r="E384">
        <f>IF($A384="","",IFERROR(INDEX('ABC Analysis'!$F:$F,MATCH($C384,'ABC Analysis'!$A:$A,0)),""))</f>
        <v/>
      </c>
      <c r="F384">
        <f>IF($A384="","",IFERROR(INDEX('Master Inventory'!$E:$E,MATCH($C384,'Master Inventory'!$A:$A,0)),0))</f>
        <v/>
      </c>
      <c r="G384">
        <f>IF($A384="","",'Blind Count Entry'!F382)</f>
        <v/>
      </c>
      <c r="H384">
        <f>IF($A384="","",G384-F384)</f>
        <v/>
      </c>
      <c r="I384" s="17">
        <f>IF($A384="","",IF(F384=0,IF(H384=0,0,1),ABS(H384)/F384))</f>
        <v/>
      </c>
      <c r="J384" s="18">
        <f>IF($A384="","",IF($E384="A",$E$1,IF($E384="B",$G$1,$I$1)))</f>
        <v/>
      </c>
      <c r="K384">
        <f>IF($A384="","",IF(H384=0,"MATCH",IF(I384&gt;J384,"RECOUNT","WITHIN TOLERANCE")))</f>
        <v/>
      </c>
      <c r="L384" s="5" t="n"/>
      <c r="M384">
        <f>IF(OR($A384="",$L384=""),"",L384-F384)</f>
        <v/>
      </c>
      <c r="N384" s="5" t="n"/>
      <c r="O384" s="5" t="n"/>
    </row>
    <row r="385">
      <c r="A385">
        <f>IF('Blind Count Entry'!A383="","",'Blind Count Entry'!A383)</f>
        <v/>
      </c>
      <c r="B385" s="16">
        <f>IF($A385="","",'Blind Count Entry'!B383)</f>
        <v/>
      </c>
      <c r="C385">
        <f>IF($A385="","",'Blind Count Entry'!C383)</f>
        <v/>
      </c>
      <c r="D385">
        <f>IF($A385="","",'Blind Count Entry'!D383)</f>
        <v/>
      </c>
      <c r="E385">
        <f>IF($A385="","",IFERROR(INDEX('ABC Analysis'!$F:$F,MATCH($C385,'ABC Analysis'!$A:$A,0)),""))</f>
        <v/>
      </c>
      <c r="F385">
        <f>IF($A385="","",IFERROR(INDEX('Master Inventory'!$E:$E,MATCH($C385,'Master Inventory'!$A:$A,0)),0))</f>
        <v/>
      </c>
      <c r="G385">
        <f>IF($A385="","",'Blind Count Entry'!F383)</f>
        <v/>
      </c>
      <c r="H385">
        <f>IF($A385="","",G385-F385)</f>
        <v/>
      </c>
      <c r="I385" s="17">
        <f>IF($A385="","",IF(F385=0,IF(H385=0,0,1),ABS(H385)/F385))</f>
        <v/>
      </c>
      <c r="J385" s="18">
        <f>IF($A385="","",IF($E385="A",$E$1,IF($E385="B",$G$1,$I$1)))</f>
        <v/>
      </c>
      <c r="K385">
        <f>IF($A385="","",IF(H385=0,"MATCH",IF(I385&gt;J385,"RECOUNT","WITHIN TOLERANCE")))</f>
        <v/>
      </c>
      <c r="L385" s="5" t="n"/>
      <c r="M385">
        <f>IF(OR($A385="",$L385=""),"",L385-F385)</f>
        <v/>
      </c>
      <c r="N385" s="5" t="n"/>
      <c r="O385" s="5" t="n"/>
    </row>
    <row r="386">
      <c r="A386">
        <f>IF('Blind Count Entry'!A384="","",'Blind Count Entry'!A384)</f>
        <v/>
      </c>
      <c r="B386" s="16">
        <f>IF($A386="","",'Blind Count Entry'!B384)</f>
        <v/>
      </c>
      <c r="C386">
        <f>IF($A386="","",'Blind Count Entry'!C384)</f>
        <v/>
      </c>
      <c r="D386">
        <f>IF($A386="","",'Blind Count Entry'!D384)</f>
        <v/>
      </c>
      <c r="E386">
        <f>IF($A386="","",IFERROR(INDEX('ABC Analysis'!$F:$F,MATCH($C386,'ABC Analysis'!$A:$A,0)),""))</f>
        <v/>
      </c>
      <c r="F386">
        <f>IF($A386="","",IFERROR(INDEX('Master Inventory'!$E:$E,MATCH($C386,'Master Inventory'!$A:$A,0)),0))</f>
        <v/>
      </c>
      <c r="G386">
        <f>IF($A386="","",'Blind Count Entry'!F384)</f>
        <v/>
      </c>
      <c r="H386">
        <f>IF($A386="","",G386-F386)</f>
        <v/>
      </c>
      <c r="I386" s="17">
        <f>IF($A386="","",IF(F386=0,IF(H386=0,0,1),ABS(H386)/F386))</f>
        <v/>
      </c>
      <c r="J386" s="18">
        <f>IF($A386="","",IF($E386="A",$E$1,IF($E386="B",$G$1,$I$1)))</f>
        <v/>
      </c>
      <c r="K386">
        <f>IF($A386="","",IF(H386=0,"MATCH",IF(I386&gt;J386,"RECOUNT","WITHIN TOLERANCE")))</f>
        <v/>
      </c>
      <c r="L386" s="5" t="n"/>
      <c r="M386">
        <f>IF(OR($A386="",$L386=""),"",L386-F386)</f>
        <v/>
      </c>
      <c r="N386" s="5" t="n"/>
      <c r="O386" s="5" t="n"/>
    </row>
    <row r="387">
      <c r="A387">
        <f>IF('Blind Count Entry'!A385="","",'Blind Count Entry'!A385)</f>
        <v/>
      </c>
      <c r="B387" s="16">
        <f>IF($A387="","",'Blind Count Entry'!B385)</f>
        <v/>
      </c>
      <c r="C387">
        <f>IF($A387="","",'Blind Count Entry'!C385)</f>
        <v/>
      </c>
      <c r="D387">
        <f>IF($A387="","",'Blind Count Entry'!D385)</f>
        <v/>
      </c>
      <c r="E387">
        <f>IF($A387="","",IFERROR(INDEX('ABC Analysis'!$F:$F,MATCH($C387,'ABC Analysis'!$A:$A,0)),""))</f>
        <v/>
      </c>
      <c r="F387">
        <f>IF($A387="","",IFERROR(INDEX('Master Inventory'!$E:$E,MATCH($C387,'Master Inventory'!$A:$A,0)),0))</f>
        <v/>
      </c>
      <c r="G387">
        <f>IF($A387="","",'Blind Count Entry'!F385)</f>
        <v/>
      </c>
      <c r="H387">
        <f>IF($A387="","",G387-F387)</f>
        <v/>
      </c>
      <c r="I387" s="17">
        <f>IF($A387="","",IF(F387=0,IF(H387=0,0,1),ABS(H387)/F387))</f>
        <v/>
      </c>
      <c r="J387" s="18">
        <f>IF($A387="","",IF($E387="A",$E$1,IF($E387="B",$G$1,$I$1)))</f>
        <v/>
      </c>
      <c r="K387">
        <f>IF($A387="","",IF(H387=0,"MATCH",IF(I387&gt;J387,"RECOUNT","WITHIN TOLERANCE")))</f>
        <v/>
      </c>
      <c r="L387" s="5" t="n"/>
      <c r="M387">
        <f>IF(OR($A387="",$L387=""),"",L387-F387)</f>
        <v/>
      </c>
      <c r="N387" s="5" t="n"/>
      <c r="O387" s="5" t="n"/>
    </row>
    <row r="388">
      <c r="A388">
        <f>IF('Blind Count Entry'!A386="","",'Blind Count Entry'!A386)</f>
        <v/>
      </c>
      <c r="B388" s="16">
        <f>IF($A388="","",'Blind Count Entry'!B386)</f>
        <v/>
      </c>
      <c r="C388">
        <f>IF($A388="","",'Blind Count Entry'!C386)</f>
        <v/>
      </c>
      <c r="D388">
        <f>IF($A388="","",'Blind Count Entry'!D386)</f>
        <v/>
      </c>
      <c r="E388">
        <f>IF($A388="","",IFERROR(INDEX('ABC Analysis'!$F:$F,MATCH($C388,'ABC Analysis'!$A:$A,0)),""))</f>
        <v/>
      </c>
      <c r="F388">
        <f>IF($A388="","",IFERROR(INDEX('Master Inventory'!$E:$E,MATCH($C388,'Master Inventory'!$A:$A,0)),0))</f>
        <v/>
      </c>
      <c r="G388">
        <f>IF($A388="","",'Blind Count Entry'!F386)</f>
        <v/>
      </c>
      <c r="H388">
        <f>IF($A388="","",G388-F388)</f>
        <v/>
      </c>
      <c r="I388" s="17">
        <f>IF($A388="","",IF(F388=0,IF(H388=0,0,1),ABS(H388)/F388))</f>
        <v/>
      </c>
      <c r="J388" s="18">
        <f>IF($A388="","",IF($E388="A",$E$1,IF($E388="B",$G$1,$I$1)))</f>
        <v/>
      </c>
      <c r="K388">
        <f>IF($A388="","",IF(H388=0,"MATCH",IF(I388&gt;J388,"RECOUNT","WITHIN TOLERANCE")))</f>
        <v/>
      </c>
      <c r="L388" s="5" t="n"/>
      <c r="M388">
        <f>IF(OR($A388="",$L388=""),"",L388-F388)</f>
        <v/>
      </c>
      <c r="N388" s="5" t="n"/>
      <c r="O388" s="5" t="n"/>
    </row>
    <row r="389">
      <c r="A389">
        <f>IF('Blind Count Entry'!A387="","",'Blind Count Entry'!A387)</f>
        <v/>
      </c>
      <c r="B389" s="16">
        <f>IF($A389="","",'Blind Count Entry'!B387)</f>
        <v/>
      </c>
      <c r="C389">
        <f>IF($A389="","",'Blind Count Entry'!C387)</f>
        <v/>
      </c>
      <c r="D389">
        <f>IF($A389="","",'Blind Count Entry'!D387)</f>
        <v/>
      </c>
      <c r="E389">
        <f>IF($A389="","",IFERROR(INDEX('ABC Analysis'!$F:$F,MATCH($C389,'ABC Analysis'!$A:$A,0)),""))</f>
        <v/>
      </c>
      <c r="F389">
        <f>IF($A389="","",IFERROR(INDEX('Master Inventory'!$E:$E,MATCH($C389,'Master Inventory'!$A:$A,0)),0))</f>
        <v/>
      </c>
      <c r="G389">
        <f>IF($A389="","",'Blind Count Entry'!F387)</f>
        <v/>
      </c>
      <c r="H389">
        <f>IF($A389="","",G389-F389)</f>
        <v/>
      </c>
      <c r="I389" s="17">
        <f>IF($A389="","",IF(F389=0,IF(H389=0,0,1),ABS(H389)/F389))</f>
        <v/>
      </c>
      <c r="J389" s="18">
        <f>IF($A389="","",IF($E389="A",$E$1,IF($E389="B",$G$1,$I$1)))</f>
        <v/>
      </c>
      <c r="K389">
        <f>IF($A389="","",IF(H389=0,"MATCH",IF(I389&gt;J389,"RECOUNT","WITHIN TOLERANCE")))</f>
        <v/>
      </c>
      <c r="L389" s="5" t="n"/>
      <c r="M389">
        <f>IF(OR($A389="",$L389=""),"",L389-F389)</f>
        <v/>
      </c>
      <c r="N389" s="5" t="n"/>
      <c r="O389" s="5" t="n"/>
    </row>
    <row r="390">
      <c r="A390">
        <f>IF('Blind Count Entry'!A388="","",'Blind Count Entry'!A388)</f>
        <v/>
      </c>
      <c r="B390" s="16">
        <f>IF($A390="","",'Blind Count Entry'!B388)</f>
        <v/>
      </c>
      <c r="C390">
        <f>IF($A390="","",'Blind Count Entry'!C388)</f>
        <v/>
      </c>
      <c r="D390">
        <f>IF($A390="","",'Blind Count Entry'!D388)</f>
        <v/>
      </c>
      <c r="E390">
        <f>IF($A390="","",IFERROR(INDEX('ABC Analysis'!$F:$F,MATCH($C390,'ABC Analysis'!$A:$A,0)),""))</f>
        <v/>
      </c>
      <c r="F390">
        <f>IF($A390="","",IFERROR(INDEX('Master Inventory'!$E:$E,MATCH($C390,'Master Inventory'!$A:$A,0)),0))</f>
        <v/>
      </c>
      <c r="G390">
        <f>IF($A390="","",'Blind Count Entry'!F388)</f>
        <v/>
      </c>
      <c r="H390">
        <f>IF($A390="","",G390-F390)</f>
        <v/>
      </c>
      <c r="I390" s="17">
        <f>IF($A390="","",IF(F390=0,IF(H390=0,0,1),ABS(H390)/F390))</f>
        <v/>
      </c>
      <c r="J390" s="18">
        <f>IF($A390="","",IF($E390="A",$E$1,IF($E390="B",$G$1,$I$1)))</f>
        <v/>
      </c>
      <c r="K390">
        <f>IF($A390="","",IF(H390=0,"MATCH",IF(I390&gt;J390,"RECOUNT","WITHIN TOLERANCE")))</f>
        <v/>
      </c>
      <c r="L390" s="5" t="n"/>
      <c r="M390">
        <f>IF(OR($A390="",$L390=""),"",L390-F390)</f>
        <v/>
      </c>
      <c r="N390" s="5" t="n"/>
      <c r="O390" s="5" t="n"/>
    </row>
    <row r="391">
      <c r="A391">
        <f>IF('Blind Count Entry'!A389="","",'Blind Count Entry'!A389)</f>
        <v/>
      </c>
      <c r="B391" s="16">
        <f>IF($A391="","",'Blind Count Entry'!B389)</f>
        <v/>
      </c>
      <c r="C391">
        <f>IF($A391="","",'Blind Count Entry'!C389)</f>
        <v/>
      </c>
      <c r="D391">
        <f>IF($A391="","",'Blind Count Entry'!D389)</f>
        <v/>
      </c>
      <c r="E391">
        <f>IF($A391="","",IFERROR(INDEX('ABC Analysis'!$F:$F,MATCH($C391,'ABC Analysis'!$A:$A,0)),""))</f>
        <v/>
      </c>
      <c r="F391">
        <f>IF($A391="","",IFERROR(INDEX('Master Inventory'!$E:$E,MATCH($C391,'Master Inventory'!$A:$A,0)),0))</f>
        <v/>
      </c>
      <c r="G391">
        <f>IF($A391="","",'Blind Count Entry'!F389)</f>
        <v/>
      </c>
      <c r="H391">
        <f>IF($A391="","",G391-F391)</f>
        <v/>
      </c>
      <c r="I391" s="17">
        <f>IF($A391="","",IF(F391=0,IF(H391=0,0,1),ABS(H391)/F391))</f>
        <v/>
      </c>
      <c r="J391" s="18">
        <f>IF($A391="","",IF($E391="A",$E$1,IF($E391="B",$G$1,$I$1)))</f>
        <v/>
      </c>
      <c r="K391">
        <f>IF($A391="","",IF(H391=0,"MATCH",IF(I391&gt;J391,"RECOUNT","WITHIN TOLERANCE")))</f>
        <v/>
      </c>
      <c r="L391" s="5" t="n"/>
      <c r="M391">
        <f>IF(OR($A391="",$L391=""),"",L391-F391)</f>
        <v/>
      </c>
      <c r="N391" s="5" t="n"/>
      <c r="O391" s="5" t="n"/>
    </row>
    <row r="392">
      <c r="A392">
        <f>IF('Blind Count Entry'!A390="","",'Blind Count Entry'!A390)</f>
        <v/>
      </c>
      <c r="B392" s="16">
        <f>IF($A392="","",'Blind Count Entry'!B390)</f>
        <v/>
      </c>
      <c r="C392">
        <f>IF($A392="","",'Blind Count Entry'!C390)</f>
        <v/>
      </c>
      <c r="D392">
        <f>IF($A392="","",'Blind Count Entry'!D390)</f>
        <v/>
      </c>
      <c r="E392">
        <f>IF($A392="","",IFERROR(INDEX('ABC Analysis'!$F:$F,MATCH($C392,'ABC Analysis'!$A:$A,0)),""))</f>
        <v/>
      </c>
      <c r="F392">
        <f>IF($A392="","",IFERROR(INDEX('Master Inventory'!$E:$E,MATCH($C392,'Master Inventory'!$A:$A,0)),0))</f>
        <v/>
      </c>
      <c r="G392">
        <f>IF($A392="","",'Blind Count Entry'!F390)</f>
        <v/>
      </c>
      <c r="H392">
        <f>IF($A392="","",G392-F392)</f>
        <v/>
      </c>
      <c r="I392" s="17">
        <f>IF($A392="","",IF(F392=0,IF(H392=0,0,1),ABS(H392)/F392))</f>
        <v/>
      </c>
      <c r="J392" s="18">
        <f>IF($A392="","",IF($E392="A",$E$1,IF($E392="B",$G$1,$I$1)))</f>
        <v/>
      </c>
      <c r="K392">
        <f>IF($A392="","",IF(H392=0,"MATCH",IF(I392&gt;J392,"RECOUNT","WITHIN TOLERANCE")))</f>
        <v/>
      </c>
      <c r="L392" s="5" t="n"/>
      <c r="M392">
        <f>IF(OR($A392="",$L392=""),"",L392-F392)</f>
        <v/>
      </c>
      <c r="N392" s="5" t="n"/>
      <c r="O392" s="5" t="n"/>
    </row>
    <row r="393">
      <c r="A393">
        <f>IF('Blind Count Entry'!A391="","",'Blind Count Entry'!A391)</f>
        <v/>
      </c>
      <c r="B393" s="16">
        <f>IF($A393="","",'Blind Count Entry'!B391)</f>
        <v/>
      </c>
      <c r="C393">
        <f>IF($A393="","",'Blind Count Entry'!C391)</f>
        <v/>
      </c>
      <c r="D393">
        <f>IF($A393="","",'Blind Count Entry'!D391)</f>
        <v/>
      </c>
      <c r="E393">
        <f>IF($A393="","",IFERROR(INDEX('ABC Analysis'!$F:$F,MATCH($C393,'ABC Analysis'!$A:$A,0)),""))</f>
        <v/>
      </c>
      <c r="F393">
        <f>IF($A393="","",IFERROR(INDEX('Master Inventory'!$E:$E,MATCH($C393,'Master Inventory'!$A:$A,0)),0))</f>
        <v/>
      </c>
      <c r="G393">
        <f>IF($A393="","",'Blind Count Entry'!F391)</f>
        <v/>
      </c>
      <c r="H393">
        <f>IF($A393="","",G393-F393)</f>
        <v/>
      </c>
      <c r="I393" s="17">
        <f>IF($A393="","",IF(F393=0,IF(H393=0,0,1),ABS(H393)/F393))</f>
        <v/>
      </c>
      <c r="J393" s="18">
        <f>IF($A393="","",IF($E393="A",$E$1,IF($E393="B",$G$1,$I$1)))</f>
        <v/>
      </c>
      <c r="K393">
        <f>IF($A393="","",IF(H393=0,"MATCH",IF(I393&gt;J393,"RECOUNT","WITHIN TOLERANCE")))</f>
        <v/>
      </c>
      <c r="L393" s="5" t="n"/>
      <c r="M393">
        <f>IF(OR($A393="",$L393=""),"",L393-F393)</f>
        <v/>
      </c>
      <c r="N393" s="5" t="n"/>
      <c r="O393" s="5" t="n"/>
    </row>
    <row r="394">
      <c r="A394">
        <f>IF('Blind Count Entry'!A392="","",'Blind Count Entry'!A392)</f>
        <v/>
      </c>
      <c r="B394" s="16">
        <f>IF($A394="","",'Blind Count Entry'!B392)</f>
        <v/>
      </c>
      <c r="C394">
        <f>IF($A394="","",'Blind Count Entry'!C392)</f>
        <v/>
      </c>
      <c r="D394">
        <f>IF($A394="","",'Blind Count Entry'!D392)</f>
        <v/>
      </c>
      <c r="E394">
        <f>IF($A394="","",IFERROR(INDEX('ABC Analysis'!$F:$F,MATCH($C394,'ABC Analysis'!$A:$A,0)),""))</f>
        <v/>
      </c>
      <c r="F394">
        <f>IF($A394="","",IFERROR(INDEX('Master Inventory'!$E:$E,MATCH($C394,'Master Inventory'!$A:$A,0)),0))</f>
        <v/>
      </c>
      <c r="G394">
        <f>IF($A394="","",'Blind Count Entry'!F392)</f>
        <v/>
      </c>
      <c r="H394">
        <f>IF($A394="","",G394-F394)</f>
        <v/>
      </c>
      <c r="I394" s="17">
        <f>IF($A394="","",IF(F394=0,IF(H394=0,0,1),ABS(H394)/F394))</f>
        <v/>
      </c>
      <c r="J394" s="18">
        <f>IF($A394="","",IF($E394="A",$E$1,IF($E394="B",$G$1,$I$1)))</f>
        <v/>
      </c>
      <c r="K394">
        <f>IF($A394="","",IF(H394=0,"MATCH",IF(I394&gt;J394,"RECOUNT","WITHIN TOLERANCE")))</f>
        <v/>
      </c>
      <c r="L394" s="5" t="n"/>
      <c r="M394">
        <f>IF(OR($A394="",$L394=""),"",L394-F394)</f>
        <v/>
      </c>
      <c r="N394" s="5" t="n"/>
      <c r="O394" s="5" t="n"/>
    </row>
    <row r="395">
      <c r="A395">
        <f>IF('Blind Count Entry'!A393="","",'Blind Count Entry'!A393)</f>
        <v/>
      </c>
      <c r="B395" s="16">
        <f>IF($A395="","",'Blind Count Entry'!B393)</f>
        <v/>
      </c>
      <c r="C395">
        <f>IF($A395="","",'Blind Count Entry'!C393)</f>
        <v/>
      </c>
      <c r="D395">
        <f>IF($A395="","",'Blind Count Entry'!D393)</f>
        <v/>
      </c>
      <c r="E395">
        <f>IF($A395="","",IFERROR(INDEX('ABC Analysis'!$F:$F,MATCH($C395,'ABC Analysis'!$A:$A,0)),""))</f>
        <v/>
      </c>
      <c r="F395">
        <f>IF($A395="","",IFERROR(INDEX('Master Inventory'!$E:$E,MATCH($C395,'Master Inventory'!$A:$A,0)),0))</f>
        <v/>
      </c>
      <c r="G395">
        <f>IF($A395="","",'Blind Count Entry'!F393)</f>
        <v/>
      </c>
      <c r="H395">
        <f>IF($A395="","",G395-F395)</f>
        <v/>
      </c>
      <c r="I395" s="17">
        <f>IF($A395="","",IF(F395=0,IF(H395=0,0,1),ABS(H395)/F395))</f>
        <v/>
      </c>
      <c r="J395" s="18">
        <f>IF($A395="","",IF($E395="A",$E$1,IF($E395="B",$G$1,$I$1)))</f>
        <v/>
      </c>
      <c r="K395">
        <f>IF($A395="","",IF(H395=0,"MATCH",IF(I395&gt;J395,"RECOUNT","WITHIN TOLERANCE")))</f>
        <v/>
      </c>
      <c r="L395" s="5" t="n"/>
      <c r="M395">
        <f>IF(OR($A395="",$L395=""),"",L395-F395)</f>
        <v/>
      </c>
      <c r="N395" s="5" t="n"/>
      <c r="O395" s="5" t="n"/>
    </row>
    <row r="396">
      <c r="A396">
        <f>IF('Blind Count Entry'!A394="","",'Blind Count Entry'!A394)</f>
        <v/>
      </c>
      <c r="B396" s="16">
        <f>IF($A396="","",'Blind Count Entry'!B394)</f>
        <v/>
      </c>
      <c r="C396">
        <f>IF($A396="","",'Blind Count Entry'!C394)</f>
        <v/>
      </c>
      <c r="D396">
        <f>IF($A396="","",'Blind Count Entry'!D394)</f>
        <v/>
      </c>
      <c r="E396">
        <f>IF($A396="","",IFERROR(INDEX('ABC Analysis'!$F:$F,MATCH($C396,'ABC Analysis'!$A:$A,0)),""))</f>
        <v/>
      </c>
      <c r="F396">
        <f>IF($A396="","",IFERROR(INDEX('Master Inventory'!$E:$E,MATCH($C396,'Master Inventory'!$A:$A,0)),0))</f>
        <v/>
      </c>
      <c r="G396">
        <f>IF($A396="","",'Blind Count Entry'!F394)</f>
        <v/>
      </c>
      <c r="H396">
        <f>IF($A396="","",G396-F396)</f>
        <v/>
      </c>
      <c r="I396" s="17">
        <f>IF($A396="","",IF(F396=0,IF(H396=0,0,1),ABS(H396)/F396))</f>
        <v/>
      </c>
      <c r="J396" s="18">
        <f>IF($A396="","",IF($E396="A",$E$1,IF($E396="B",$G$1,$I$1)))</f>
        <v/>
      </c>
      <c r="K396">
        <f>IF($A396="","",IF(H396=0,"MATCH",IF(I396&gt;J396,"RECOUNT","WITHIN TOLERANCE")))</f>
        <v/>
      </c>
      <c r="L396" s="5" t="n"/>
      <c r="M396">
        <f>IF(OR($A396="",$L396=""),"",L396-F396)</f>
        <v/>
      </c>
      <c r="N396" s="5" t="n"/>
      <c r="O396" s="5" t="n"/>
    </row>
    <row r="397">
      <c r="A397">
        <f>IF('Blind Count Entry'!A395="","",'Blind Count Entry'!A395)</f>
        <v/>
      </c>
      <c r="B397" s="16">
        <f>IF($A397="","",'Blind Count Entry'!B395)</f>
        <v/>
      </c>
      <c r="C397">
        <f>IF($A397="","",'Blind Count Entry'!C395)</f>
        <v/>
      </c>
      <c r="D397">
        <f>IF($A397="","",'Blind Count Entry'!D395)</f>
        <v/>
      </c>
      <c r="E397">
        <f>IF($A397="","",IFERROR(INDEX('ABC Analysis'!$F:$F,MATCH($C397,'ABC Analysis'!$A:$A,0)),""))</f>
        <v/>
      </c>
      <c r="F397">
        <f>IF($A397="","",IFERROR(INDEX('Master Inventory'!$E:$E,MATCH($C397,'Master Inventory'!$A:$A,0)),0))</f>
        <v/>
      </c>
      <c r="G397">
        <f>IF($A397="","",'Blind Count Entry'!F395)</f>
        <v/>
      </c>
      <c r="H397">
        <f>IF($A397="","",G397-F397)</f>
        <v/>
      </c>
      <c r="I397" s="17">
        <f>IF($A397="","",IF(F397=0,IF(H397=0,0,1),ABS(H397)/F397))</f>
        <v/>
      </c>
      <c r="J397" s="18">
        <f>IF($A397="","",IF($E397="A",$E$1,IF($E397="B",$G$1,$I$1)))</f>
        <v/>
      </c>
      <c r="K397">
        <f>IF($A397="","",IF(H397=0,"MATCH",IF(I397&gt;J397,"RECOUNT","WITHIN TOLERANCE")))</f>
        <v/>
      </c>
      <c r="L397" s="5" t="n"/>
      <c r="M397">
        <f>IF(OR($A397="",$L397=""),"",L397-F397)</f>
        <v/>
      </c>
      <c r="N397" s="5" t="n"/>
      <c r="O397" s="5" t="n"/>
    </row>
    <row r="398">
      <c r="A398">
        <f>IF('Blind Count Entry'!A396="","",'Blind Count Entry'!A396)</f>
        <v/>
      </c>
      <c r="B398" s="16">
        <f>IF($A398="","",'Blind Count Entry'!B396)</f>
        <v/>
      </c>
      <c r="C398">
        <f>IF($A398="","",'Blind Count Entry'!C396)</f>
        <v/>
      </c>
      <c r="D398">
        <f>IF($A398="","",'Blind Count Entry'!D396)</f>
        <v/>
      </c>
      <c r="E398">
        <f>IF($A398="","",IFERROR(INDEX('ABC Analysis'!$F:$F,MATCH($C398,'ABC Analysis'!$A:$A,0)),""))</f>
        <v/>
      </c>
      <c r="F398">
        <f>IF($A398="","",IFERROR(INDEX('Master Inventory'!$E:$E,MATCH($C398,'Master Inventory'!$A:$A,0)),0))</f>
        <v/>
      </c>
      <c r="G398">
        <f>IF($A398="","",'Blind Count Entry'!F396)</f>
        <v/>
      </c>
      <c r="H398">
        <f>IF($A398="","",G398-F398)</f>
        <v/>
      </c>
      <c r="I398" s="17">
        <f>IF($A398="","",IF(F398=0,IF(H398=0,0,1),ABS(H398)/F398))</f>
        <v/>
      </c>
      <c r="J398" s="18">
        <f>IF($A398="","",IF($E398="A",$E$1,IF($E398="B",$G$1,$I$1)))</f>
        <v/>
      </c>
      <c r="K398">
        <f>IF($A398="","",IF(H398=0,"MATCH",IF(I398&gt;J398,"RECOUNT","WITHIN TOLERANCE")))</f>
        <v/>
      </c>
      <c r="L398" s="5" t="n"/>
      <c r="M398">
        <f>IF(OR($A398="",$L398=""),"",L398-F398)</f>
        <v/>
      </c>
      <c r="N398" s="5" t="n"/>
      <c r="O398" s="5" t="n"/>
    </row>
    <row r="399">
      <c r="A399">
        <f>IF('Blind Count Entry'!A397="","",'Blind Count Entry'!A397)</f>
        <v/>
      </c>
      <c r="B399" s="16">
        <f>IF($A399="","",'Blind Count Entry'!B397)</f>
        <v/>
      </c>
      <c r="C399">
        <f>IF($A399="","",'Blind Count Entry'!C397)</f>
        <v/>
      </c>
      <c r="D399">
        <f>IF($A399="","",'Blind Count Entry'!D397)</f>
        <v/>
      </c>
      <c r="E399">
        <f>IF($A399="","",IFERROR(INDEX('ABC Analysis'!$F:$F,MATCH($C399,'ABC Analysis'!$A:$A,0)),""))</f>
        <v/>
      </c>
      <c r="F399">
        <f>IF($A399="","",IFERROR(INDEX('Master Inventory'!$E:$E,MATCH($C399,'Master Inventory'!$A:$A,0)),0))</f>
        <v/>
      </c>
      <c r="G399">
        <f>IF($A399="","",'Blind Count Entry'!F397)</f>
        <v/>
      </c>
      <c r="H399">
        <f>IF($A399="","",G399-F399)</f>
        <v/>
      </c>
      <c r="I399" s="17">
        <f>IF($A399="","",IF(F399=0,IF(H399=0,0,1),ABS(H399)/F399))</f>
        <v/>
      </c>
      <c r="J399" s="18">
        <f>IF($A399="","",IF($E399="A",$E$1,IF($E399="B",$G$1,$I$1)))</f>
        <v/>
      </c>
      <c r="K399">
        <f>IF($A399="","",IF(H399=0,"MATCH",IF(I399&gt;J399,"RECOUNT","WITHIN TOLERANCE")))</f>
        <v/>
      </c>
      <c r="L399" s="5" t="n"/>
      <c r="M399">
        <f>IF(OR($A399="",$L399=""),"",L399-F399)</f>
        <v/>
      </c>
      <c r="N399" s="5" t="n"/>
      <c r="O399" s="5" t="n"/>
    </row>
    <row r="400">
      <c r="A400">
        <f>IF('Blind Count Entry'!A398="","",'Blind Count Entry'!A398)</f>
        <v/>
      </c>
      <c r="B400" s="16">
        <f>IF($A400="","",'Blind Count Entry'!B398)</f>
        <v/>
      </c>
      <c r="C400">
        <f>IF($A400="","",'Blind Count Entry'!C398)</f>
        <v/>
      </c>
      <c r="D400">
        <f>IF($A400="","",'Blind Count Entry'!D398)</f>
        <v/>
      </c>
      <c r="E400">
        <f>IF($A400="","",IFERROR(INDEX('ABC Analysis'!$F:$F,MATCH($C400,'ABC Analysis'!$A:$A,0)),""))</f>
        <v/>
      </c>
      <c r="F400">
        <f>IF($A400="","",IFERROR(INDEX('Master Inventory'!$E:$E,MATCH($C400,'Master Inventory'!$A:$A,0)),0))</f>
        <v/>
      </c>
      <c r="G400">
        <f>IF($A400="","",'Blind Count Entry'!F398)</f>
        <v/>
      </c>
      <c r="H400">
        <f>IF($A400="","",G400-F400)</f>
        <v/>
      </c>
      <c r="I400" s="17">
        <f>IF($A400="","",IF(F400=0,IF(H400=0,0,1),ABS(H400)/F400))</f>
        <v/>
      </c>
      <c r="J400" s="18">
        <f>IF($A400="","",IF($E400="A",$E$1,IF($E400="B",$G$1,$I$1)))</f>
        <v/>
      </c>
      <c r="K400">
        <f>IF($A400="","",IF(H400=0,"MATCH",IF(I400&gt;J400,"RECOUNT","WITHIN TOLERANCE")))</f>
        <v/>
      </c>
      <c r="L400" s="5" t="n"/>
      <c r="M400">
        <f>IF(OR($A400="",$L400=""),"",L400-F400)</f>
        <v/>
      </c>
      <c r="N400" s="5" t="n"/>
      <c r="O400" s="5" t="n"/>
    </row>
    <row r="401">
      <c r="A401">
        <f>IF('Blind Count Entry'!A399="","",'Blind Count Entry'!A399)</f>
        <v/>
      </c>
      <c r="B401" s="16">
        <f>IF($A401="","",'Blind Count Entry'!B399)</f>
        <v/>
      </c>
      <c r="C401">
        <f>IF($A401="","",'Blind Count Entry'!C399)</f>
        <v/>
      </c>
      <c r="D401">
        <f>IF($A401="","",'Blind Count Entry'!D399)</f>
        <v/>
      </c>
      <c r="E401">
        <f>IF($A401="","",IFERROR(INDEX('ABC Analysis'!$F:$F,MATCH($C401,'ABC Analysis'!$A:$A,0)),""))</f>
        <v/>
      </c>
      <c r="F401">
        <f>IF($A401="","",IFERROR(INDEX('Master Inventory'!$E:$E,MATCH($C401,'Master Inventory'!$A:$A,0)),0))</f>
        <v/>
      </c>
      <c r="G401">
        <f>IF($A401="","",'Blind Count Entry'!F399)</f>
        <v/>
      </c>
      <c r="H401">
        <f>IF($A401="","",G401-F401)</f>
        <v/>
      </c>
      <c r="I401" s="17">
        <f>IF($A401="","",IF(F401=0,IF(H401=0,0,1),ABS(H401)/F401))</f>
        <v/>
      </c>
      <c r="J401" s="18">
        <f>IF($A401="","",IF($E401="A",$E$1,IF($E401="B",$G$1,$I$1)))</f>
        <v/>
      </c>
      <c r="K401">
        <f>IF($A401="","",IF(H401=0,"MATCH",IF(I401&gt;J401,"RECOUNT","WITHIN TOLERANCE")))</f>
        <v/>
      </c>
      <c r="L401" s="5" t="n"/>
      <c r="M401">
        <f>IF(OR($A401="",$L401=""),"",L401-F401)</f>
        <v/>
      </c>
      <c r="N401" s="5" t="n"/>
      <c r="O401" s="5" t="n"/>
    </row>
    <row r="402">
      <c r="A402">
        <f>IF('Blind Count Entry'!A400="","",'Blind Count Entry'!A400)</f>
        <v/>
      </c>
      <c r="B402" s="16">
        <f>IF($A402="","",'Blind Count Entry'!B400)</f>
        <v/>
      </c>
      <c r="C402">
        <f>IF($A402="","",'Blind Count Entry'!C400)</f>
        <v/>
      </c>
      <c r="D402">
        <f>IF($A402="","",'Blind Count Entry'!D400)</f>
        <v/>
      </c>
      <c r="E402">
        <f>IF($A402="","",IFERROR(INDEX('ABC Analysis'!$F:$F,MATCH($C402,'ABC Analysis'!$A:$A,0)),""))</f>
        <v/>
      </c>
      <c r="F402">
        <f>IF($A402="","",IFERROR(INDEX('Master Inventory'!$E:$E,MATCH($C402,'Master Inventory'!$A:$A,0)),0))</f>
        <v/>
      </c>
      <c r="G402">
        <f>IF($A402="","",'Blind Count Entry'!F400)</f>
        <v/>
      </c>
      <c r="H402">
        <f>IF($A402="","",G402-F402)</f>
        <v/>
      </c>
      <c r="I402" s="17">
        <f>IF($A402="","",IF(F402=0,IF(H402=0,0,1),ABS(H402)/F402))</f>
        <v/>
      </c>
      <c r="J402" s="18">
        <f>IF($A402="","",IF($E402="A",$E$1,IF($E402="B",$G$1,$I$1)))</f>
        <v/>
      </c>
      <c r="K402">
        <f>IF($A402="","",IF(H402=0,"MATCH",IF(I402&gt;J402,"RECOUNT","WITHIN TOLERANCE")))</f>
        <v/>
      </c>
      <c r="L402" s="5" t="n"/>
      <c r="M402">
        <f>IF(OR($A402="",$L402=""),"",L402-F402)</f>
        <v/>
      </c>
      <c r="N402" s="5" t="n"/>
      <c r="O402" s="5" t="n"/>
    </row>
    <row r="403">
      <c r="A403">
        <f>IF('Blind Count Entry'!A401="","",'Blind Count Entry'!A401)</f>
        <v/>
      </c>
      <c r="B403" s="16">
        <f>IF($A403="","",'Blind Count Entry'!B401)</f>
        <v/>
      </c>
      <c r="C403">
        <f>IF($A403="","",'Blind Count Entry'!C401)</f>
        <v/>
      </c>
      <c r="D403">
        <f>IF($A403="","",'Blind Count Entry'!D401)</f>
        <v/>
      </c>
      <c r="E403">
        <f>IF($A403="","",IFERROR(INDEX('ABC Analysis'!$F:$F,MATCH($C403,'ABC Analysis'!$A:$A,0)),""))</f>
        <v/>
      </c>
      <c r="F403">
        <f>IF($A403="","",IFERROR(INDEX('Master Inventory'!$E:$E,MATCH($C403,'Master Inventory'!$A:$A,0)),0))</f>
        <v/>
      </c>
      <c r="G403">
        <f>IF($A403="","",'Blind Count Entry'!F401)</f>
        <v/>
      </c>
      <c r="H403">
        <f>IF($A403="","",G403-F403)</f>
        <v/>
      </c>
      <c r="I403" s="17">
        <f>IF($A403="","",IF(F403=0,IF(H403=0,0,1),ABS(H403)/F403))</f>
        <v/>
      </c>
      <c r="J403" s="18">
        <f>IF($A403="","",IF($E403="A",$E$1,IF($E403="B",$G$1,$I$1)))</f>
        <v/>
      </c>
      <c r="K403">
        <f>IF($A403="","",IF(H403=0,"MATCH",IF(I403&gt;J403,"RECOUNT","WITHIN TOLERANCE")))</f>
        <v/>
      </c>
      <c r="L403" s="5" t="n"/>
      <c r="M403">
        <f>IF(OR($A403="",$L403=""),"",L403-F403)</f>
        <v/>
      </c>
      <c r="N403" s="5" t="n"/>
      <c r="O403" s="5" t="n"/>
    </row>
    <row r="404">
      <c r="A404">
        <f>IF('Blind Count Entry'!A402="","",'Blind Count Entry'!A402)</f>
        <v/>
      </c>
      <c r="B404" s="16">
        <f>IF($A404="","",'Blind Count Entry'!B402)</f>
        <v/>
      </c>
      <c r="C404">
        <f>IF($A404="","",'Blind Count Entry'!C402)</f>
        <v/>
      </c>
      <c r="D404">
        <f>IF($A404="","",'Blind Count Entry'!D402)</f>
        <v/>
      </c>
      <c r="E404">
        <f>IF($A404="","",IFERROR(INDEX('ABC Analysis'!$F:$F,MATCH($C404,'ABC Analysis'!$A:$A,0)),""))</f>
        <v/>
      </c>
      <c r="F404">
        <f>IF($A404="","",IFERROR(INDEX('Master Inventory'!$E:$E,MATCH($C404,'Master Inventory'!$A:$A,0)),0))</f>
        <v/>
      </c>
      <c r="G404">
        <f>IF($A404="","",'Blind Count Entry'!F402)</f>
        <v/>
      </c>
      <c r="H404">
        <f>IF($A404="","",G404-F404)</f>
        <v/>
      </c>
      <c r="I404" s="17">
        <f>IF($A404="","",IF(F404=0,IF(H404=0,0,1),ABS(H404)/F404))</f>
        <v/>
      </c>
      <c r="J404" s="18">
        <f>IF($A404="","",IF($E404="A",$E$1,IF($E404="B",$G$1,$I$1)))</f>
        <v/>
      </c>
      <c r="K404">
        <f>IF($A404="","",IF(H404=0,"MATCH",IF(I404&gt;J404,"RECOUNT","WITHIN TOLERANCE")))</f>
        <v/>
      </c>
      <c r="L404" s="5" t="n"/>
      <c r="M404">
        <f>IF(OR($A404="",$L404=""),"",L404-F404)</f>
        <v/>
      </c>
      <c r="N404" s="5" t="n"/>
      <c r="O404" s="5" t="n"/>
    </row>
    <row r="405">
      <c r="A405">
        <f>IF('Blind Count Entry'!A403="","",'Blind Count Entry'!A403)</f>
        <v/>
      </c>
      <c r="B405" s="16">
        <f>IF($A405="","",'Blind Count Entry'!B403)</f>
        <v/>
      </c>
      <c r="C405">
        <f>IF($A405="","",'Blind Count Entry'!C403)</f>
        <v/>
      </c>
      <c r="D405">
        <f>IF($A405="","",'Blind Count Entry'!D403)</f>
        <v/>
      </c>
      <c r="E405">
        <f>IF($A405="","",IFERROR(INDEX('ABC Analysis'!$F:$F,MATCH($C405,'ABC Analysis'!$A:$A,0)),""))</f>
        <v/>
      </c>
      <c r="F405">
        <f>IF($A405="","",IFERROR(INDEX('Master Inventory'!$E:$E,MATCH($C405,'Master Inventory'!$A:$A,0)),0))</f>
        <v/>
      </c>
      <c r="G405">
        <f>IF($A405="","",'Blind Count Entry'!F403)</f>
        <v/>
      </c>
      <c r="H405">
        <f>IF($A405="","",G405-F405)</f>
        <v/>
      </c>
      <c r="I405" s="17">
        <f>IF($A405="","",IF(F405=0,IF(H405=0,0,1),ABS(H405)/F405))</f>
        <v/>
      </c>
      <c r="J405" s="18">
        <f>IF($A405="","",IF($E405="A",$E$1,IF($E405="B",$G$1,$I$1)))</f>
        <v/>
      </c>
      <c r="K405">
        <f>IF($A405="","",IF(H405=0,"MATCH",IF(I405&gt;J405,"RECOUNT","WITHIN TOLERANCE")))</f>
        <v/>
      </c>
      <c r="L405" s="5" t="n"/>
      <c r="M405">
        <f>IF(OR($A405="",$L405=""),"",L405-F405)</f>
        <v/>
      </c>
      <c r="N405" s="5" t="n"/>
      <c r="O405" s="5" t="n"/>
    </row>
    <row r="406">
      <c r="A406">
        <f>IF('Blind Count Entry'!A404="","",'Blind Count Entry'!A404)</f>
        <v/>
      </c>
      <c r="B406" s="16">
        <f>IF($A406="","",'Blind Count Entry'!B404)</f>
        <v/>
      </c>
      <c r="C406">
        <f>IF($A406="","",'Blind Count Entry'!C404)</f>
        <v/>
      </c>
      <c r="D406">
        <f>IF($A406="","",'Blind Count Entry'!D404)</f>
        <v/>
      </c>
      <c r="E406">
        <f>IF($A406="","",IFERROR(INDEX('ABC Analysis'!$F:$F,MATCH($C406,'ABC Analysis'!$A:$A,0)),""))</f>
        <v/>
      </c>
      <c r="F406">
        <f>IF($A406="","",IFERROR(INDEX('Master Inventory'!$E:$E,MATCH($C406,'Master Inventory'!$A:$A,0)),0))</f>
        <v/>
      </c>
      <c r="G406">
        <f>IF($A406="","",'Blind Count Entry'!F404)</f>
        <v/>
      </c>
      <c r="H406">
        <f>IF($A406="","",G406-F406)</f>
        <v/>
      </c>
      <c r="I406" s="17">
        <f>IF($A406="","",IF(F406=0,IF(H406=0,0,1),ABS(H406)/F406))</f>
        <v/>
      </c>
      <c r="J406" s="18">
        <f>IF($A406="","",IF($E406="A",$E$1,IF($E406="B",$G$1,$I$1)))</f>
        <v/>
      </c>
      <c r="K406">
        <f>IF($A406="","",IF(H406=0,"MATCH",IF(I406&gt;J406,"RECOUNT","WITHIN TOLERANCE")))</f>
        <v/>
      </c>
      <c r="L406" s="5" t="n"/>
      <c r="M406">
        <f>IF(OR($A406="",$L406=""),"",L406-F406)</f>
        <v/>
      </c>
      <c r="N406" s="5" t="n"/>
      <c r="O406" s="5" t="n"/>
    </row>
    <row r="407">
      <c r="A407">
        <f>IF('Blind Count Entry'!A405="","",'Blind Count Entry'!A405)</f>
        <v/>
      </c>
      <c r="B407" s="16">
        <f>IF($A407="","",'Blind Count Entry'!B405)</f>
        <v/>
      </c>
      <c r="C407">
        <f>IF($A407="","",'Blind Count Entry'!C405)</f>
        <v/>
      </c>
      <c r="D407">
        <f>IF($A407="","",'Blind Count Entry'!D405)</f>
        <v/>
      </c>
      <c r="E407">
        <f>IF($A407="","",IFERROR(INDEX('ABC Analysis'!$F:$F,MATCH($C407,'ABC Analysis'!$A:$A,0)),""))</f>
        <v/>
      </c>
      <c r="F407">
        <f>IF($A407="","",IFERROR(INDEX('Master Inventory'!$E:$E,MATCH($C407,'Master Inventory'!$A:$A,0)),0))</f>
        <v/>
      </c>
      <c r="G407">
        <f>IF($A407="","",'Blind Count Entry'!F405)</f>
        <v/>
      </c>
      <c r="H407">
        <f>IF($A407="","",G407-F407)</f>
        <v/>
      </c>
      <c r="I407" s="17">
        <f>IF($A407="","",IF(F407=0,IF(H407=0,0,1),ABS(H407)/F407))</f>
        <v/>
      </c>
      <c r="J407" s="18">
        <f>IF($A407="","",IF($E407="A",$E$1,IF($E407="B",$G$1,$I$1)))</f>
        <v/>
      </c>
      <c r="K407">
        <f>IF($A407="","",IF(H407=0,"MATCH",IF(I407&gt;J407,"RECOUNT","WITHIN TOLERANCE")))</f>
        <v/>
      </c>
      <c r="L407" s="5" t="n"/>
      <c r="M407">
        <f>IF(OR($A407="",$L407=""),"",L407-F407)</f>
        <v/>
      </c>
      <c r="N407" s="5" t="n"/>
      <c r="O407" s="5" t="n"/>
    </row>
    <row r="408">
      <c r="A408">
        <f>IF('Blind Count Entry'!A406="","",'Blind Count Entry'!A406)</f>
        <v/>
      </c>
      <c r="B408" s="16">
        <f>IF($A408="","",'Blind Count Entry'!B406)</f>
        <v/>
      </c>
      <c r="C408">
        <f>IF($A408="","",'Blind Count Entry'!C406)</f>
        <v/>
      </c>
      <c r="D408">
        <f>IF($A408="","",'Blind Count Entry'!D406)</f>
        <v/>
      </c>
      <c r="E408">
        <f>IF($A408="","",IFERROR(INDEX('ABC Analysis'!$F:$F,MATCH($C408,'ABC Analysis'!$A:$A,0)),""))</f>
        <v/>
      </c>
      <c r="F408">
        <f>IF($A408="","",IFERROR(INDEX('Master Inventory'!$E:$E,MATCH($C408,'Master Inventory'!$A:$A,0)),0))</f>
        <v/>
      </c>
      <c r="G408">
        <f>IF($A408="","",'Blind Count Entry'!F406)</f>
        <v/>
      </c>
      <c r="H408">
        <f>IF($A408="","",G408-F408)</f>
        <v/>
      </c>
      <c r="I408" s="17">
        <f>IF($A408="","",IF(F408=0,IF(H408=0,0,1),ABS(H408)/F408))</f>
        <v/>
      </c>
      <c r="J408" s="18">
        <f>IF($A408="","",IF($E408="A",$E$1,IF($E408="B",$G$1,$I$1)))</f>
        <v/>
      </c>
      <c r="K408">
        <f>IF($A408="","",IF(H408=0,"MATCH",IF(I408&gt;J408,"RECOUNT","WITHIN TOLERANCE")))</f>
        <v/>
      </c>
      <c r="L408" s="5" t="n"/>
      <c r="M408">
        <f>IF(OR($A408="",$L408=""),"",L408-F408)</f>
        <v/>
      </c>
      <c r="N408" s="5" t="n"/>
      <c r="O408" s="5" t="n"/>
    </row>
    <row r="409">
      <c r="A409">
        <f>IF('Blind Count Entry'!A407="","",'Blind Count Entry'!A407)</f>
        <v/>
      </c>
      <c r="B409" s="16">
        <f>IF($A409="","",'Blind Count Entry'!B407)</f>
        <v/>
      </c>
      <c r="C409">
        <f>IF($A409="","",'Blind Count Entry'!C407)</f>
        <v/>
      </c>
      <c r="D409">
        <f>IF($A409="","",'Blind Count Entry'!D407)</f>
        <v/>
      </c>
      <c r="E409">
        <f>IF($A409="","",IFERROR(INDEX('ABC Analysis'!$F:$F,MATCH($C409,'ABC Analysis'!$A:$A,0)),""))</f>
        <v/>
      </c>
      <c r="F409">
        <f>IF($A409="","",IFERROR(INDEX('Master Inventory'!$E:$E,MATCH($C409,'Master Inventory'!$A:$A,0)),0))</f>
        <v/>
      </c>
      <c r="G409">
        <f>IF($A409="","",'Blind Count Entry'!F407)</f>
        <v/>
      </c>
      <c r="H409">
        <f>IF($A409="","",G409-F409)</f>
        <v/>
      </c>
      <c r="I409" s="17">
        <f>IF($A409="","",IF(F409=0,IF(H409=0,0,1),ABS(H409)/F409))</f>
        <v/>
      </c>
      <c r="J409" s="18">
        <f>IF($A409="","",IF($E409="A",$E$1,IF($E409="B",$G$1,$I$1)))</f>
        <v/>
      </c>
      <c r="K409">
        <f>IF($A409="","",IF(H409=0,"MATCH",IF(I409&gt;J409,"RECOUNT","WITHIN TOLERANCE")))</f>
        <v/>
      </c>
      <c r="L409" s="5" t="n"/>
      <c r="M409">
        <f>IF(OR($A409="",$L409=""),"",L409-F409)</f>
        <v/>
      </c>
      <c r="N409" s="5" t="n"/>
      <c r="O409" s="5" t="n"/>
    </row>
    <row r="410">
      <c r="A410">
        <f>IF('Blind Count Entry'!A408="","",'Blind Count Entry'!A408)</f>
        <v/>
      </c>
      <c r="B410" s="16">
        <f>IF($A410="","",'Blind Count Entry'!B408)</f>
        <v/>
      </c>
      <c r="C410">
        <f>IF($A410="","",'Blind Count Entry'!C408)</f>
        <v/>
      </c>
      <c r="D410">
        <f>IF($A410="","",'Blind Count Entry'!D408)</f>
        <v/>
      </c>
      <c r="E410">
        <f>IF($A410="","",IFERROR(INDEX('ABC Analysis'!$F:$F,MATCH($C410,'ABC Analysis'!$A:$A,0)),""))</f>
        <v/>
      </c>
      <c r="F410">
        <f>IF($A410="","",IFERROR(INDEX('Master Inventory'!$E:$E,MATCH($C410,'Master Inventory'!$A:$A,0)),0))</f>
        <v/>
      </c>
      <c r="G410">
        <f>IF($A410="","",'Blind Count Entry'!F408)</f>
        <v/>
      </c>
      <c r="H410">
        <f>IF($A410="","",G410-F410)</f>
        <v/>
      </c>
      <c r="I410" s="17">
        <f>IF($A410="","",IF(F410=0,IF(H410=0,0,1),ABS(H410)/F410))</f>
        <v/>
      </c>
      <c r="J410" s="18">
        <f>IF($A410="","",IF($E410="A",$E$1,IF($E410="B",$G$1,$I$1)))</f>
        <v/>
      </c>
      <c r="K410">
        <f>IF($A410="","",IF(H410=0,"MATCH",IF(I410&gt;J410,"RECOUNT","WITHIN TOLERANCE")))</f>
        <v/>
      </c>
      <c r="L410" s="5" t="n"/>
      <c r="M410">
        <f>IF(OR($A410="",$L410=""),"",L410-F410)</f>
        <v/>
      </c>
      <c r="N410" s="5" t="n"/>
      <c r="O410" s="5" t="n"/>
    </row>
    <row r="411">
      <c r="A411">
        <f>IF('Blind Count Entry'!A409="","",'Blind Count Entry'!A409)</f>
        <v/>
      </c>
      <c r="B411" s="16">
        <f>IF($A411="","",'Blind Count Entry'!B409)</f>
        <v/>
      </c>
      <c r="C411">
        <f>IF($A411="","",'Blind Count Entry'!C409)</f>
        <v/>
      </c>
      <c r="D411">
        <f>IF($A411="","",'Blind Count Entry'!D409)</f>
        <v/>
      </c>
      <c r="E411">
        <f>IF($A411="","",IFERROR(INDEX('ABC Analysis'!$F:$F,MATCH($C411,'ABC Analysis'!$A:$A,0)),""))</f>
        <v/>
      </c>
      <c r="F411">
        <f>IF($A411="","",IFERROR(INDEX('Master Inventory'!$E:$E,MATCH($C411,'Master Inventory'!$A:$A,0)),0))</f>
        <v/>
      </c>
      <c r="G411">
        <f>IF($A411="","",'Blind Count Entry'!F409)</f>
        <v/>
      </c>
      <c r="H411">
        <f>IF($A411="","",G411-F411)</f>
        <v/>
      </c>
      <c r="I411" s="17">
        <f>IF($A411="","",IF(F411=0,IF(H411=0,0,1),ABS(H411)/F411))</f>
        <v/>
      </c>
      <c r="J411" s="18">
        <f>IF($A411="","",IF($E411="A",$E$1,IF($E411="B",$G$1,$I$1)))</f>
        <v/>
      </c>
      <c r="K411">
        <f>IF($A411="","",IF(H411=0,"MATCH",IF(I411&gt;J411,"RECOUNT","WITHIN TOLERANCE")))</f>
        <v/>
      </c>
      <c r="L411" s="5" t="n"/>
      <c r="M411">
        <f>IF(OR($A411="",$L411=""),"",L411-F411)</f>
        <v/>
      </c>
      <c r="N411" s="5" t="n"/>
      <c r="O411" s="5" t="n"/>
    </row>
    <row r="412">
      <c r="A412">
        <f>IF('Blind Count Entry'!A410="","",'Blind Count Entry'!A410)</f>
        <v/>
      </c>
      <c r="B412" s="16">
        <f>IF($A412="","",'Blind Count Entry'!B410)</f>
        <v/>
      </c>
      <c r="C412">
        <f>IF($A412="","",'Blind Count Entry'!C410)</f>
        <v/>
      </c>
      <c r="D412">
        <f>IF($A412="","",'Blind Count Entry'!D410)</f>
        <v/>
      </c>
      <c r="E412">
        <f>IF($A412="","",IFERROR(INDEX('ABC Analysis'!$F:$F,MATCH($C412,'ABC Analysis'!$A:$A,0)),""))</f>
        <v/>
      </c>
      <c r="F412">
        <f>IF($A412="","",IFERROR(INDEX('Master Inventory'!$E:$E,MATCH($C412,'Master Inventory'!$A:$A,0)),0))</f>
        <v/>
      </c>
      <c r="G412">
        <f>IF($A412="","",'Blind Count Entry'!F410)</f>
        <v/>
      </c>
      <c r="H412">
        <f>IF($A412="","",G412-F412)</f>
        <v/>
      </c>
      <c r="I412" s="17">
        <f>IF($A412="","",IF(F412=0,IF(H412=0,0,1),ABS(H412)/F412))</f>
        <v/>
      </c>
      <c r="J412" s="18">
        <f>IF($A412="","",IF($E412="A",$E$1,IF($E412="B",$G$1,$I$1)))</f>
        <v/>
      </c>
      <c r="K412">
        <f>IF($A412="","",IF(H412=0,"MATCH",IF(I412&gt;J412,"RECOUNT","WITHIN TOLERANCE")))</f>
        <v/>
      </c>
      <c r="L412" s="5" t="n"/>
      <c r="M412">
        <f>IF(OR($A412="",$L412=""),"",L412-F412)</f>
        <v/>
      </c>
      <c r="N412" s="5" t="n"/>
      <c r="O412" s="5" t="n"/>
    </row>
    <row r="413">
      <c r="A413">
        <f>IF('Blind Count Entry'!A411="","",'Blind Count Entry'!A411)</f>
        <v/>
      </c>
      <c r="B413" s="16">
        <f>IF($A413="","",'Blind Count Entry'!B411)</f>
        <v/>
      </c>
      <c r="C413">
        <f>IF($A413="","",'Blind Count Entry'!C411)</f>
        <v/>
      </c>
      <c r="D413">
        <f>IF($A413="","",'Blind Count Entry'!D411)</f>
        <v/>
      </c>
      <c r="E413">
        <f>IF($A413="","",IFERROR(INDEX('ABC Analysis'!$F:$F,MATCH($C413,'ABC Analysis'!$A:$A,0)),""))</f>
        <v/>
      </c>
      <c r="F413">
        <f>IF($A413="","",IFERROR(INDEX('Master Inventory'!$E:$E,MATCH($C413,'Master Inventory'!$A:$A,0)),0))</f>
        <v/>
      </c>
      <c r="G413">
        <f>IF($A413="","",'Blind Count Entry'!F411)</f>
        <v/>
      </c>
      <c r="H413">
        <f>IF($A413="","",G413-F413)</f>
        <v/>
      </c>
      <c r="I413" s="17">
        <f>IF($A413="","",IF(F413=0,IF(H413=0,0,1),ABS(H413)/F413))</f>
        <v/>
      </c>
      <c r="J413" s="18">
        <f>IF($A413="","",IF($E413="A",$E$1,IF($E413="B",$G$1,$I$1)))</f>
        <v/>
      </c>
      <c r="K413">
        <f>IF($A413="","",IF(H413=0,"MATCH",IF(I413&gt;J413,"RECOUNT","WITHIN TOLERANCE")))</f>
        <v/>
      </c>
      <c r="L413" s="5" t="n"/>
      <c r="M413">
        <f>IF(OR($A413="",$L413=""),"",L413-F413)</f>
        <v/>
      </c>
      <c r="N413" s="5" t="n"/>
      <c r="O413" s="5" t="n"/>
    </row>
    <row r="414">
      <c r="A414">
        <f>IF('Blind Count Entry'!A412="","",'Blind Count Entry'!A412)</f>
        <v/>
      </c>
      <c r="B414" s="16">
        <f>IF($A414="","",'Blind Count Entry'!B412)</f>
        <v/>
      </c>
      <c r="C414">
        <f>IF($A414="","",'Blind Count Entry'!C412)</f>
        <v/>
      </c>
      <c r="D414">
        <f>IF($A414="","",'Blind Count Entry'!D412)</f>
        <v/>
      </c>
      <c r="E414">
        <f>IF($A414="","",IFERROR(INDEX('ABC Analysis'!$F:$F,MATCH($C414,'ABC Analysis'!$A:$A,0)),""))</f>
        <v/>
      </c>
      <c r="F414">
        <f>IF($A414="","",IFERROR(INDEX('Master Inventory'!$E:$E,MATCH($C414,'Master Inventory'!$A:$A,0)),0))</f>
        <v/>
      </c>
      <c r="G414">
        <f>IF($A414="","",'Blind Count Entry'!F412)</f>
        <v/>
      </c>
      <c r="H414">
        <f>IF($A414="","",G414-F414)</f>
        <v/>
      </c>
      <c r="I414" s="17">
        <f>IF($A414="","",IF(F414=0,IF(H414=0,0,1),ABS(H414)/F414))</f>
        <v/>
      </c>
      <c r="J414" s="18">
        <f>IF($A414="","",IF($E414="A",$E$1,IF($E414="B",$G$1,$I$1)))</f>
        <v/>
      </c>
      <c r="K414">
        <f>IF($A414="","",IF(H414=0,"MATCH",IF(I414&gt;J414,"RECOUNT","WITHIN TOLERANCE")))</f>
        <v/>
      </c>
      <c r="L414" s="5" t="n"/>
      <c r="M414">
        <f>IF(OR($A414="",$L414=""),"",L414-F414)</f>
        <v/>
      </c>
      <c r="N414" s="5" t="n"/>
      <c r="O414" s="5" t="n"/>
    </row>
    <row r="415">
      <c r="A415">
        <f>IF('Blind Count Entry'!A413="","",'Blind Count Entry'!A413)</f>
        <v/>
      </c>
      <c r="B415" s="16">
        <f>IF($A415="","",'Blind Count Entry'!B413)</f>
        <v/>
      </c>
      <c r="C415">
        <f>IF($A415="","",'Blind Count Entry'!C413)</f>
        <v/>
      </c>
      <c r="D415">
        <f>IF($A415="","",'Blind Count Entry'!D413)</f>
        <v/>
      </c>
      <c r="E415">
        <f>IF($A415="","",IFERROR(INDEX('ABC Analysis'!$F:$F,MATCH($C415,'ABC Analysis'!$A:$A,0)),""))</f>
        <v/>
      </c>
      <c r="F415">
        <f>IF($A415="","",IFERROR(INDEX('Master Inventory'!$E:$E,MATCH($C415,'Master Inventory'!$A:$A,0)),0))</f>
        <v/>
      </c>
      <c r="G415">
        <f>IF($A415="","",'Blind Count Entry'!F413)</f>
        <v/>
      </c>
      <c r="H415">
        <f>IF($A415="","",G415-F415)</f>
        <v/>
      </c>
      <c r="I415" s="17">
        <f>IF($A415="","",IF(F415=0,IF(H415=0,0,1),ABS(H415)/F415))</f>
        <v/>
      </c>
      <c r="J415" s="18">
        <f>IF($A415="","",IF($E415="A",$E$1,IF($E415="B",$G$1,$I$1)))</f>
        <v/>
      </c>
      <c r="K415">
        <f>IF($A415="","",IF(H415=0,"MATCH",IF(I415&gt;J415,"RECOUNT","WITHIN TOLERANCE")))</f>
        <v/>
      </c>
      <c r="L415" s="5" t="n"/>
      <c r="M415">
        <f>IF(OR($A415="",$L415=""),"",L415-F415)</f>
        <v/>
      </c>
      <c r="N415" s="5" t="n"/>
      <c r="O415" s="5" t="n"/>
    </row>
    <row r="416">
      <c r="A416">
        <f>IF('Blind Count Entry'!A414="","",'Blind Count Entry'!A414)</f>
        <v/>
      </c>
      <c r="B416" s="16">
        <f>IF($A416="","",'Blind Count Entry'!B414)</f>
        <v/>
      </c>
      <c r="C416">
        <f>IF($A416="","",'Blind Count Entry'!C414)</f>
        <v/>
      </c>
      <c r="D416">
        <f>IF($A416="","",'Blind Count Entry'!D414)</f>
        <v/>
      </c>
      <c r="E416">
        <f>IF($A416="","",IFERROR(INDEX('ABC Analysis'!$F:$F,MATCH($C416,'ABC Analysis'!$A:$A,0)),""))</f>
        <v/>
      </c>
      <c r="F416">
        <f>IF($A416="","",IFERROR(INDEX('Master Inventory'!$E:$E,MATCH($C416,'Master Inventory'!$A:$A,0)),0))</f>
        <v/>
      </c>
      <c r="G416">
        <f>IF($A416="","",'Blind Count Entry'!F414)</f>
        <v/>
      </c>
      <c r="H416">
        <f>IF($A416="","",G416-F416)</f>
        <v/>
      </c>
      <c r="I416" s="17">
        <f>IF($A416="","",IF(F416=0,IF(H416=0,0,1),ABS(H416)/F416))</f>
        <v/>
      </c>
      <c r="J416" s="18">
        <f>IF($A416="","",IF($E416="A",$E$1,IF($E416="B",$G$1,$I$1)))</f>
        <v/>
      </c>
      <c r="K416">
        <f>IF($A416="","",IF(H416=0,"MATCH",IF(I416&gt;J416,"RECOUNT","WITHIN TOLERANCE")))</f>
        <v/>
      </c>
      <c r="L416" s="5" t="n"/>
      <c r="M416">
        <f>IF(OR($A416="",$L416=""),"",L416-F416)</f>
        <v/>
      </c>
      <c r="N416" s="5" t="n"/>
      <c r="O416" s="5" t="n"/>
    </row>
    <row r="417">
      <c r="A417">
        <f>IF('Blind Count Entry'!A415="","",'Blind Count Entry'!A415)</f>
        <v/>
      </c>
      <c r="B417" s="16">
        <f>IF($A417="","",'Blind Count Entry'!B415)</f>
        <v/>
      </c>
      <c r="C417">
        <f>IF($A417="","",'Blind Count Entry'!C415)</f>
        <v/>
      </c>
      <c r="D417">
        <f>IF($A417="","",'Blind Count Entry'!D415)</f>
        <v/>
      </c>
      <c r="E417">
        <f>IF($A417="","",IFERROR(INDEX('ABC Analysis'!$F:$F,MATCH($C417,'ABC Analysis'!$A:$A,0)),""))</f>
        <v/>
      </c>
      <c r="F417">
        <f>IF($A417="","",IFERROR(INDEX('Master Inventory'!$E:$E,MATCH($C417,'Master Inventory'!$A:$A,0)),0))</f>
        <v/>
      </c>
      <c r="G417">
        <f>IF($A417="","",'Blind Count Entry'!F415)</f>
        <v/>
      </c>
      <c r="H417">
        <f>IF($A417="","",G417-F417)</f>
        <v/>
      </c>
      <c r="I417" s="17">
        <f>IF($A417="","",IF(F417=0,IF(H417=0,0,1),ABS(H417)/F417))</f>
        <v/>
      </c>
      <c r="J417" s="18">
        <f>IF($A417="","",IF($E417="A",$E$1,IF($E417="B",$G$1,$I$1)))</f>
        <v/>
      </c>
      <c r="K417">
        <f>IF($A417="","",IF(H417=0,"MATCH",IF(I417&gt;J417,"RECOUNT","WITHIN TOLERANCE")))</f>
        <v/>
      </c>
      <c r="L417" s="5" t="n"/>
      <c r="M417">
        <f>IF(OR($A417="",$L417=""),"",L417-F417)</f>
        <v/>
      </c>
      <c r="N417" s="5" t="n"/>
      <c r="O417" s="5" t="n"/>
    </row>
    <row r="418">
      <c r="A418">
        <f>IF('Blind Count Entry'!A416="","",'Blind Count Entry'!A416)</f>
        <v/>
      </c>
      <c r="B418" s="16">
        <f>IF($A418="","",'Blind Count Entry'!B416)</f>
        <v/>
      </c>
      <c r="C418">
        <f>IF($A418="","",'Blind Count Entry'!C416)</f>
        <v/>
      </c>
      <c r="D418">
        <f>IF($A418="","",'Blind Count Entry'!D416)</f>
        <v/>
      </c>
      <c r="E418">
        <f>IF($A418="","",IFERROR(INDEX('ABC Analysis'!$F:$F,MATCH($C418,'ABC Analysis'!$A:$A,0)),""))</f>
        <v/>
      </c>
      <c r="F418">
        <f>IF($A418="","",IFERROR(INDEX('Master Inventory'!$E:$E,MATCH($C418,'Master Inventory'!$A:$A,0)),0))</f>
        <v/>
      </c>
      <c r="G418">
        <f>IF($A418="","",'Blind Count Entry'!F416)</f>
        <v/>
      </c>
      <c r="H418">
        <f>IF($A418="","",G418-F418)</f>
        <v/>
      </c>
      <c r="I418" s="17">
        <f>IF($A418="","",IF(F418=0,IF(H418=0,0,1),ABS(H418)/F418))</f>
        <v/>
      </c>
      <c r="J418" s="18">
        <f>IF($A418="","",IF($E418="A",$E$1,IF($E418="B",$G$1,$I$1)))</f>
        <v/>
      </c>
      <c r="K418">
        <f>IF($A418="","",IF(H418=0,"MATCH",IF(I418&gt;J418,"RECOUNT","WITHIN TOLERANCE")))</f>
        <v/>
      </c>
      <c r="L418" s="5" t="n"/>
      <c r="M418">
        <f>IF(OR($A418="",$L418=""),"",L418-F418)</f>
        <v/>
      </c>
      <c r="N418" s="5" t="n"/>
      <c r="O418" s="5" t="n"/>
    </row>
    <row r="419">
      <c r="A419">
        <f>IF('Blind Count Entry'!A417="","",'Blind Count Entry'!A417)</f>
        <v/>
      </c>
      <c r="B419" s="16">
        <f>IF($A419="","",'Blind Count Entry'!B417)</f>
        <v/>
      </c>
      <c r="C419">
        <f>IF($A419="","",'Blind Count Entry'!C417)</f>
        <v/>
      </c>
      <c r="D419">
        <f>IF($A419="","",'Blind Count Entry'!D417)</f>
        <v/>
      </c>
      <c r="E419">
        <f>IF($A419="","",IFERROR(INDEX('ABC Analysis'!$F:$F,MATCH($C419,'ABC Analysis'!$A:$A,0)),""))</f>
        <v/>
      </c>
      <c r="F419">
        <f>IF($A419="","",IFERROR(INDEX('Master Inventory'!$E:$E,MATCH($C419,'Master Inventory'!$A:$A,0)),0))</f>
        <v/>
      </c>
      <c r="G419">
        <f>IF($A419="","",'Blind Count Entry'!F417)</f>
        <v/>
      </c>
      <c r="H419">
        <f>IF($A419="","",G419-F419)</f>
        <v/>
      </c>
      <c r="I419" s="17">
        <f>IF($A419="","",IF(F419=0,IF(H419=0,0,1),ABS(H419)/F419))</f>
        <v/>
      </c>
      <c r="J419" s="18">
        <f>IF($A419="","",IF($E419="A",$E$1,IF($E419="B",$G$1,$I$1)))</f>
        <v/>
      </c>
      <c r="K419">
        <f>IF($A419="","",IF(H419=0,"MATCH",IF(I419&gt;J419,"RECOUNT","WITHIN TOLERANCE")))</f>
        <v/>
      </c>
      <c r="L419" s="5" t="n"/>
      <c r="M419">
        <f>IF(OR($A419="",$L419=""),"",L419-F419)</f>
        <v/>
      </c>
      <c r="N419" s="5" t="n"/>
      <c r="O419" s="5" t="n"/>
    </row>
    <row r="420">
      <c r="A420">
        <f>IF('Blind Count Entry'!A418="","",'Blind Count Entry'!A418)</f>
        <v/>
      </c>
      <c r="B420" s="16">
        <f>IF($A420="","",'Blind Count Entry'!B418)</f>
        <v/>
      </c>
      <c r="C420">
        <f>IF($A420="","",'Blind Count Entry'!C418)</f>
        <v/>
      </c>
      <c r="D420">
        <f>IF($A420="","",'Blind Count Entry'!D418)</f>
        <v/>
      </c>
      <c r="E420">
        <f>IF($A420="","",IFERROR(INDEX('ABC Analysis'!$F:$F,MATCH($C420,'ABC Analysis'!$A:$A,0)),""))</f>
        <v/>
      </c>
      <c r="F420">
        <f>IF($A420="","",IFERROR(INDEX('Master Inventory'!$E:$E,MATCH($C420,'Master Inventory'!$A:$A,0)),0))</f>
        <v/>
      </c>
      <c r="G420">
        <f>IF($A420="","",'Blind Count Entry'!F418)</f>
        <v/>
      </c>
      <c r="H420">
        <f>IF($A420="","",G420-F420)</f>
        <v/>
      </c>
      <c r="I420" s="17">
        <f>IF($A420="","",IF(F420=0,IF(H420=0,0,1),ABS(H420)/F420))</f>
        <v/>
      </c>
      <c r="J420" s="18">
        <f>IF($A420="","",IF($E420="A",$E$1,IF($E420="B",$G$1,$I$1)))</f>
        <v/>
      </c>
      <c r="K420">
        <f>IF($A420="","",IF(H420=0,"MATCH",IF(I420&gt;J420,"RECOUNT","WITHIN TOLERANCE")))</f>
        <v/>
      </c>
      <c r="L420" s="5" t="n"/>
      <c r="M420">
        <f>IF(OR($A420="",$L420=""),"",L420-F420)</f>
        <v/>
      </c>
      <c r="N420" s="5" t="n"/>
      <c r="O420" s="5" t="n"/>
    </row>
    <row r="421">
      <c r="A421">
        <f>IF('Blind Count Entry'!A419="","",'Blind Count Entry'!A419)</f>
        <v/>
      </c>
      <c r="B421" s="16">
        <f>IF($A421="","",'Blind Count Entry'!B419)</f>
        <v/>
      </c>
      <c r="C421">
        <f>IF($A421="","",'Blind Count Entry'!C419)</f>
        <v/>
      </c>
      <c r="D421">
        <f>IF($A421="","",'Blind Count Entry'!D419)</f>
        <v/>
      </c>
      <c r="E421">
        <f>IF($A421="","",IFERROR(INDEX('ABC Analysis'!$F:$F,MATCH($C421,'ABC Analysis'!$A:$A,0)),""))</f>
        <v/>
      </c>
      <c r="F421">
        <f>IF($A421="","",IFERROR(INDEX('Master Inventory'!$E:$E,MATCH($C421,'Master Inventory'!$A:$A,0)),0))</f>
        <v/>
      </c>
      <c r="G421">
        <f>IF($A421="","",'Blind Count Entry'!F419)</f>
        <v/>
      </c>
      <c r="H421">
        <f>IF($A421="","",G421-F421)</f>
        <v/>
      </c>
      <c r="I421" s="17">
        <f>IF($A421="","",IF(F421=0,IF(H421=0,0,1),ABS(H421)/F421))</f>
        <v/>
      </c>
      <c r="J421" s="18">
        <f>IF($A421="","",IF($E421="A",$E$1,IF($E421="B",$G$1,$I$1)))</f>
        <v/>
      </c>
      <c r="K421">
        <f>IF($A421="","",IF(H421=0,"MATCH",IF(I421&gt;J421,"RECOUNT","WITHIN TOLERANCE")))</f>
        <v/>
      </c>
      <c r="L421" s="5" t="n"/>
      <c r="M421">
        <f>IF(OR($A421="",$L421=""),"",L421-F421)</f>
        <v/>
      </c>
      <c r="N421" s="5" t="n"/>
      <c r="O421" s="5" t="n"/>
    </row>
    <row r="422">
      <c r="A422">
        <f>IF('Blind Count Entry'!A420="","",'Blind Count Entry'!A420)</f>
        <v/>
      </c>
      <c r="B422" s="16">
        <f>IF($A422="","",'Blind Count Entry'!B420)</f>
        <v/>
      </c>
      <c r="C422">
        <f>IF($A422="","",'Blind Count Entry'!C420)</f>
        <v/>
      </c>
      <c r="D422">
        <f>IF($A422="","",'Blind Count Entry'!D420)</f>
        <v/>
      </c>
      <c r="E422">
        <f>IF($A422="","",IFERROR(INDEX('ABC Analysis'!$F:$F,MATCH($C422,'ABC Analysis'!$A:$A,0)),""))</f>
        <v/>
      </c>
      <c r="F422">
        <f>IF($A422="","",IFERROR(INDEX('Master Inventory'!$E:$E,MATCH($C422,'Master Inventory'!$A:$A,0)),0))</f>
        <v/>
      </c>
      <c r="G422">
        <f>IF($A422="","",'Blind Count Entry'!F420)</f>
        <v/>
      </c>
      <c r="H422">
        <f>IF($A422="","",G422-F422)</f>
        <v/>
      </c>
      <c r="I422" s="17">
        <f>IF($A422="","",IF(F422=0,IF(H422=0,0,1),ABS(H422)/F422))</f>
        <v/>
      </c>
      <c r="J422" s="18">
        <f>IF($A422="","",IF($E422="A",$E$1,IF($E422="B",$G$1,$I$1)))</f>
        <v/>
      </c>
      <c r="K422">
        <f>IF($A422="","",IF(H422=0,"MATCH",IF(I422&gt;J422,"RECOUNT","WITHIN TOLERANCE")))</f>
        <v/>
      </c>
      <c r="L422" s="5" t="n"/>
      <c r="M422">
        <f>IF(OR($A422="",$L422=""),"",L422-F422)</f>
        <v/>
      </c>
      <c r="N422" s="5" t="n"/>
      <c r="O422" s="5" t="n"/>
    </row>
    <row r="423">
      <c r="A423">
        <f>IF('Blind Count Entry'!A421="","",'Blind Count Entry'!A421)</f>
        <v/>
      </c>
      <c r="B423" s="16">
        <f>IF($A423="","",'Blind Count Entry'!B421)</f>
        <v/>
      </c>
      <c r="C423">
        <f>IF($A423="","",'Blind Count Entry'!C421)</f>
        <v/>
      </c>
      <c r="D423">
        <f>IF($A423="","",'Blind Count Entry'!D421)</f>
        <v/>
      </c>
      <c r="E423">
        <f>IF($A423="","",IFERROR(INDEX('ABC Analysis'!$F:$F,MATCH($C423,'ABC Analysis'!$A:$A,0)),""))</f>
        <v/>
      </c>
      <c r="F423">
        <f>IF($A423="","",IFERROR(INDEX('Master Inventory'!$E:$E,MATCH($C423,'Master Inventory'!$A:$A,0)),0))</f>
        <v/>
      </c>
      <c r="G423">
        <f>IF($A423="","",'Blind Count Entry'!F421)</f>
        <v/>
      </c>
      <c r="H423">
        <f>IF($A423="","",G423-F423)</f>
        <v/>
      </c>
      <c r="I423" s="17">
        <f>IF($A423="","",IF(F423=0,IF(H423=0,0,1),ABS(H423)/F423))</f>
        <v/>
      </c>
      <c r="J423" s="18">
        <f>IF($A423="","",IF($E423="A",$E$1,IF($E423="B",$G$1,$I$1)))</f>
        <v/>
      </c>
      <c r="K423">
        <f>IF($A423="","",IF(H423=0,"MATCH",IF(I423&gt;J423,"RECOUNT","WITHIN TOLERANCE")))</f>
        <v/>
      </c>
      <c r="L423" s="5" t="n"/>
      <c r="M423">
        <f>IF(OR($A423="",$L423=""),"",L423-F423)</f>
        <v/>
      </c>
      <c r="N423" s="5" t="n"/>
      <c r="O423" s="5" t="n"/>
    </row>
    <row r="424">
      <c r="A424">
        <f>IF('Blind Count Entry'!A422="","",'Blind Count Entry'!A422)</f>
        <v/>
      </c>
      <c r="B424" s="16">
        <f>IF($A424="","",'Blind Count Entry'!B422)</f>
        <v/>
      </c>
      <c r="C424">
        <f>IF($A424="","",'Blind Count Entry'!C422)</f>
        <v/>
      </c>
      <c r="D424">
        <f>IF($A424="","",'Blind Count Entry'!D422)</f>
        <v/>
      </c>
      <c r="E424">
        <f>IF($A424="","",IFERROR(INDEX('ABC Analysis'!$F:$F,MATCH($C424,'ABC Analysis'!$A:$A,0)),""))</f>
        <v/>
      </c>
      <c r="F424">
        <f>IF($A424="","",IFERROR(INDEX('Master Inventory'!$E:$E,MATCH($C424,'Master Inventory'!$A:$A,0)),0))</f>
        <v/>
      </c>
      <c r="G424">
        <f>IF($A424="","",'Blind Count Entry'!F422)</f>
        <v/>
      </c>
      <c r="H424">
        <f>IF($A424="","",G424-F424)</f>
        <v/>
      </c>
      <c r="I424" s="17">
        <f>IF($A424="","",IF(F424=0,IF(H424=0,0,1),ABS(H424)/F424))</f>
        <v/>
      </c>
      <c r="J424" s="18">
        <f>IF($A424="","",IF($E424="A",$E$1,IF($E424="B",$G$1,$I$1)))</f>
        <v/>
      </c>
      <c r="K424">
        <f>IF($A424="","",IF(H424=0,"MATCH",IF(I424&gt;J424,"RECOUNT","WITHIN TOLERANCE")))</f>
        <v/>
      </c>
      <c r="L424" s="5" t="n"/>
      <c r="M424">
        <f>IF(OR($A424="",$L424=""),"",L424-F424)</f>
        <v/>
      </c>
      <c r="N424" s="5" t="n"/>
      <c r="O424" s="5" t="n"/>
    </row>
    <row r="425">
      <c r="A425">
        <f>IF('Blind Count Entry'!A423="","",'Blind Count Entry'!A423)</f>
        <v/>
      </c>
      <c r="B425" s="16">
        <f>IF($A425="","",'Blind Count Entry'!B423)</f>
        <v/>
      </c>
      <c r="C425">
        <f>IF($A425="","",'Blind Count Entry'!C423)</f>
        <v/>
      </c>
      <c r="D425">
        <f>IF($A425="","",'Blind Count Entry'!D423)</f>
        <v/>
      </c>
      <c r="E425">
        <f>IF($A425="","",IFERROR(INDEX('ABC Analysis'!$F:$F,MATCH($C425,'ABC Analysis'!$A:$A,0)),""))</f>
        <v/>
      </c>
      <c r="F425">
        <f>IF($A425="","",IFERROR(INDEX('Master Inventory'!$E:$E,MATCH($C425,'Master Inventory'!$A:$A,0)),0))</f>
        <v/>
      </c>
      <c r="G425">
        <f>IF($A425="","",'Blind Count Entry'!F423)</f>
        <v/>
      </c>
      <c r="H425">
        <f>IF($A425="","",G425-F425)</f>
        <v/>
      </c>
      <c r="I425" s="17">
        <f>IF($A425="","",IF(F425=0,IF(H425=0,0,1),ABS(H425)/F425))</f>
        <v/>
      </c>
      <c r="J425" s="18">
        <f>IF($A425="","",IF($E425="A",$E$1,IF($E425="B",$G$1,$I$1)))</f>
        <v/>
      </c>
      <c r="K425">
        <f>IF($A425="","",IF(H425=0,"MATCH",IF(I425&gt;J425,"RECOUNT","WITHIN TOLERANCE")))</f>
        <v/>
      </c>
      <c r="L425" s="5" t="n"/>
      <c r="M425">
        <f>IF(OR($A425="",$L425=""),"",L425-F425)</f>
        <v/>
      </c>
      <c r="N425" s="5" t="n"/>
      <c r="O425" s="5" t="n"/>
    </row>
    <row r="426">
      <c r="A426">
        <f>IF('Blind Count Entry'!A424="","",'Blind Count Entry'!A424)</f>
        <v/>
      </c>
      <c r="B426" s="16">
        <f>IF($A426="","",'Blind Count Entry'!B424)</f>
        <v/>
      </c>
      <c r="C426">
        <f>IF($A426="","",'Blind Count Entry'!C424)</f>
        <v/>
      </c>
      <c r="D426">
        <f>IF($A426="","",'Blind Count Entry'!D424)</f>
        <v/>
      </c>
      <c r="E426">
        <f>IF($A426="","",IFERROR(INDEX('ABC Analysis'!$F:$F,MATCH($C426,'ABC Analysis'!$A:$A,0)),""))</f>
        <v/>
      </c>
      <c r="F426">
        <f>IF($A426="","",IFERROR(INDEX('Master Inventory'!$E:$E,MATCH($C426,'Master Inventory'!$A:$A,0)),0))</f>
        <v/>
      </c>
      <c r="G426">
        <f>IF($A426="","",'Blind Count Entry'!F424)</f>
        <v/>
      </c>
      <c r="H426">
        <f>IF($A426="","",G426-F426)</f>
        <v/>
      </c>
      <c r="I426" s="17">
        <f>IF($A426="","",IF(F426=0,IF(H426=0,0,1),ABS(H426)/F426))</f>
        <v/>
      </c>
      <c r="J426" s="18">
        <f>IF($A426="","",IF($E426="A",$E$1,IF($E426="B",$G$1,$I$1)))</f>
        <v/>
      </c>
      <c r="K426">
        <f>IF($A426="","",IF(H426=0,"MATCH",IF(I426&gt;J426,"RECOUNT","WITHIN TOLERANCE")))</f>
        <v/>
      </c>
      <c r="L426" s="5" t="n"/>
      <c r="M426">
        <f>IF(OR($A426="",$L426=""),"",L426-F426)</f>
        <v/>
      </c>
      <c r="N426" s="5" t="n"/>
      <c r="O426" s="5" t="n"/>
    </row>
    <row r="427">
      <c r="A427">
        <f>IF('Blind Count Entry'!A425="","",'Blind Count Entry'!A425)</f>
        <v/>
      </c>
      <c r="B427" s="16">
        <f>IF($A427="","",'Blind Count Entry'!B425)</f>
        <v/>
      </c>
      <c r="C427">
        <f>IF($A427="","",'Blind Count Entry'!C425)</f>
        <v/>
      </c>
      <c r="D427">
        <f>IF($A427="","",'Blind Count Entry'!D425)</f>
        <v/>
      </c>
      <c r="E427">
        <f>IF($A427="","",IFERROR(INDEX('ABC Analysis'!$F:$F,MATCH($C427,'ABC Analysis'!$A:$A,0)),""))</f>
        <v/>
      </c>
      <c r="F427">
        <f>IF($A427="","",IFERROR(INDEX('Master Inventory'!$E:$E,MATCH($C427,'Master Inventory'!$A:$A,0)),0))</f>
        <v/>
      </c>
      <c r="G427">
        <f>IF($A427="","",'Blind Count Entry'!F425)</f>
        <v/>
      </c>
      <c r="H427">
        <f>IF($A427="","",G427-F427)</f>
        <v/>
      </c>
      <c r="I427" s="17">
        <f>IF($A427="","",IF(F427=0,IF(H427=0,0,1),ABS(H427)/F427))</f>
        <v/>
      </c>
      <c r="J427" s="18">
        <f>IF($A427="","",IF($E427="A",$E$1,IF($E427="B",$G$1,$I$1)))</f>
        <v/>
      </c>
      <c r="K427">
        <f>IF($A427="","",IF(H427=0,"MATCH",IF(I427&gt;J427,"RECOUNT","WITHIN TOLERANCE")))</f>
        <v/>
      </c>
      <c r="L427" s="5" t="n"/>
      <c r="M427">
        <f>IF(OR($A427="",$L427=""),"",L427-F427)</f>
        <v/>
      </c>
      <c r="N427" s="5" t="n"/>
      <c r="O427" s="5" t="n"/>
    </row>
    <row r="428">
      <c r="A428">
        <f>IF('Blind Count Entry'!A426="","",'Blind Count Entry'!A426)</f>
        <v/>
      </c>
      <c r="B428" s="16">
        <f>IF($A428="","",'Blind Count Entry'!B426)</f>
        <v/>
      </c>
      <c r="C428">
        <f>IF($A428="","",'Blind Count Entry'!C426)</f>
        <v/>
      </c>
      <c r="D428">
        <f>IF($A428="","",'Blind Count Entry'!D426)</f>
        <v/>
      </c>
      <c r="E428">
        <f>IF($A428="","",IFERROR(INDEX('ABC Analysis'!$F:$F,MATCH($C428,'ABC Analysis'!$A:$A,0)),""))</f>
        <v/>
      </c>
      <c r="F428">
        <f>IF($A428="","",IFERROR(INDEX('Master Inventory'!$E:$E,MATCH($C428,'Master Inventory'!$A:$A,0)),0))</f>
        <v/>
      </c>
      <c r="G428">
        <f>IF($A428="","",'Blind Count Entry'!F426)</f>
        <v/>
      </c>
      <c r="H428">
        <f>IF($A428="","",G428-F428)</f>
        <v/>
      </c>
      <c r="I428" s="17">
        <f>IF($A428="","",IF(F428=0,IF(H428=0,0,1),ABS(H428)/F428))</f>
        <v/>
      </c>
      <c r="J428" s="18">
        <f>IF($A428="","",IF($E428="A",$E$1,IF($E428="B",$G$1,$I$1)))</f>
        <v/>
      </c>
      <c r="K428">
        <f>IF($A428="","",IF(H428=0,"MATCH",IF(I428&gt;J428,"RECOUNT","WITHIN TOLERANCE")))</f>
        <v/>
      </c>
      <c r="L428" s="5" t="n"/>
      <c r="M428">
        <f>IF(OR($A428="",$L428=""),"",L428-F428)</f>
        <v/>
      </c>
      <c r="N428" s="5" t="n"/>
      <c r="O428" s="5" t="n"/>
    </row>
    <row r="429">
      <c r="A429">
        <f>IF('Blind Count Entry'!A427="","",'Blind Count Entry'!A427)</f>
        <v/>
      </c>
      <c r="B429" s="16">
        <f>IF($A429="","",'Blind Count Entry'!B427)</f>
        <v/>
      </c>
      <c r="C429">
        <f>IF($A429="","",'Blind Count Entry'!C427)</f>
        <v/>
      </c>
      <c r="D429">
        <f>IF($A429="","",'Blind Count Entry'!D427)</f>
        <v/>
      </c>
      <c r="E429">
        <f>IF($A429="","",IFERROR(INDEX('ABC Analysis'!$F:$F,MATCH($C429,'ABC Analysis'!$A:$A,0)),""))</f>
        <v/>
      </c>
      <c r="F429">
        <f>IF($A429="","",IFERROR(INDEX('Master Inventory'!$E:$E,MATCH($C429,'Master Inventory'!$A:$A,0)),0))</f>
        <v/>
      </c>
      <c r="G429">
        <f>IF($A429="","",'Blind Count Entry'!F427)</f>
        <v/>
      </c>
      <c r="H429">
        <f>IF($A429="","",G429-F429)</f>
        <v/>
      </c>
      <c r="I429" s="17">
        <f>IF($A429="","",IF(F429=0,IF(H429=0,0,1),ABS(H429)/F429))</f>
        <v/>
      </c>
      <c r="J429" s="18">
        <f>IF($A429="","",IF($E429="A",$E$1,IF($E429="B",$G$1,$I$1)))</f>
        <v/>
      </c>
      <c r="K429">
        <f>IF($A429="","",IF(H429=0,"MATCH",IF(I429&gt;J429,"RECOUNT","WITHIN TOLERANCE")))</f>
        <v/>
      </c>
      <c r="L429" s="5" t="n"/>
      <c r="M429">
        <f>IF(OR($A429="",$L429=""),"",L429-F429)</f>
        <v/>
      </c>
      <c r="N429" s="5" t="n"/>
      <c r="O429" s="5" t="n"/>
    </row>
    <row r="430">
      <c r="A430">
        <f>IF('Blind Count Entry'!A428="","",'Blind Count Entry'!A428)</f>
        <v/>
      </c>
      <c r="B430" s="16">
        <f>IF($A430="","",'Blind Count Entry'!B428)</f>
        <v/>
      </c>
      <c r="C430">
        <f>IF($A430="","",'Blind Count Entry'!C428)</f>
        <v/>
      </c>
      <c r="D430">
        <f>IF($A430="","",'Blind Count Entry'!D428)</f>
        <v/>
      </c>
      <c r="E430">
        <f>IF($A430="","",IFERROR(INDEX('ABC Analysis'!$F:$F,MATCH($C430,'ABC Analysis'!$A:$A,0)),""))</f>
        <v/>
      </c>
      <c r="F430">
        <f>IF($A430="","",IFERROR(INDEX('Master Inventory'!$E:$E,MATCH($C430,'Master Inventory'!$A:$A,0)),0))</f>
        <v/>
      </c>
      <c r="G430">
        <f>IF($A430="","",'Blind Count Entry'!F428)</f>
        <v/>
      </c>
      <c r="H430">
        <f>IF($A430="","",G430-F430)</f>
        <v/>
      </c>
      <c r="I430" s="17">
        <f>IF($A430="","",IF(F430=0,IF(H430=0,0,1),ABS(H430)/F430))</f>
        <v/>
      </c>
      <c r="J430" s="18">
        <f>IF($A430="","",IF($E430="A",$E$1,IF($E430="B",$G$1,$I$1)))</f>
        <v/>
      </c>
      <c r="K430">
        <f>IF($A430="","",IF(H430=0,"MATCH",IF(I430&gt;J430,"RECOUNT","WITHIN TOLERANCE")))</f>
        <v/>
      </c>
      <c r="L430" s="5" t="n"/>
      <c r="M430">
        <f>IF(OR($A430="",$L430=""),"",L430-F430)</f>
        <v/>
      </c>
      <c r="N430" s="5" t="n"/>
      <c r="O430" s="5" t="n"/>
    </row>
    <row r="431">
      <c r="A431">
        <f>IF('Blind Count Entry'!A429="","",'Blind Count Entry'!A429)</f>
        <v/>
      </c>
      <c r="B431" s="16">
        <f>IF($A431="","",'Blind Count Entry'!B429)</f>
        <v/>
      </c>
      <c r="C431">
        <f>IF($A431="","",'Blind Count Entry'!C429)</f>
        <v/>
      </c>
      <c r="D431">
        <f>IF($A431="","",'Blind Count Entry'!D429)</f>
        <v/>
      </c>
      <c r="E431">
        <f>IF($A431="","",IFERROR(INDEX('ABC Analysis'!$F:$F,MATCH($C431,'ABC Analysis'!$A:$A,0)),""))</f>
        <v/>
      </c>
      <c r="F431">
        <f>IF($A431="","",IFERROR(INDEX('Master Inventory'!$E:$E,MATCH($C431,'Master Inventory'!$A:$A,0)),0))</f>
        <v/>
      </c>
      <c r="G431">
        <f>IF($A431="","",'Blind Count Entry'!F429)</f>
        <v/>
      </c>
      <c r="H431">
        <f>IF($A431="","",G431-F431)</f>
        <v/>
      </c>
      <c r="I431" s="17">
        <f>IF($A431="","",IF(F431=0,IF(H431=0,0,1),ABS(H431)/F431))</f>
        <v/>
      </c>
      <c r="J431" s="18">
        <f>IF($A431="","",IF($E431="A",$E$1,IF($E431="B",$G$1,$I$1)))</f>
        <v/>
      </c>
      <c r="K431">
        <f>IF($A431="","",IF(H431=0,"MATCH",IF(I431&gt;J431,"RECOUNT","WITHIN TOLERANCE")))</f>
        <v/>
      </c>
      <c r="L431" s="5" t="n"/>
      <c r="M431">
        <f>IF(OR($A431="",$L431=""),"",L431-F431)</f>
        <v/>
      </c>
      <c r="N431" s="5" t="n"/>
      <c r="O431" s="5" t="n"/>
    </row>
    <row r="432">
      <c r="A432">
        <f>IF('Blind Count Entry'!A430="","",'Blind Count Entry'!A430)</f>
        <v/>
      </c>
      <c r="B432" s="16">
        <f>IF($A432="","",'Blind Count Entry'!B430)</f>
        <v/>
      </c>
      <c r="C432">
        <f>IF($A432="","",'Blind Count Entry'!C430)</f>
        <v/>
      </c>
      <c r="D432">
        <f>IF($A432="","",'Blind Count Entry'!D430)</f>
        <v/>
      </c>
      <c r="E432">
        <f>IF($A432="","",IFERROR(INDEX('ABC Analysis'!$F:$F,MATCH($C432,'ABC Analysis'!$A:$A,0)),""))</f>
        <v/>
      </c>
      <c r="F432">
        <f>IF($A432="","",IFERROR(INDEX('Master Inventory'!$E:$E,MATCH($C432,'Master Inventory'!$A:$A,0)),0))</f>
        <v/>
      </c>
      <c r="G432">
        <f>IF($A432="","",'Blind Count Entry'!F430)</f>
        <v/>
      </c>
      <c r="H432">
        <f>IF($A432="","",G432-F432)</f>
        <v/>
      </c>
      <c r="I432" s="17">
        <f>IF($A432="","",IF(F432=0,IF(H432=0,0,1),ABS(H432)/F432))</f>
        <v/>
      </c>
      <c r="J432" s="18">
        <f>IF($A432="","",IF($E432="A",$E$1,IF($E432="B",$G$1,$I$1)))</f>
        <v/>
      </c>
      <c r="K432">
        <f>IF($A432="","",IF(H432=0,"MATCH",IF(I432&gt;J432,"RECOUNT","WITHIN TOLERANCE")))</f>
        <v/>
      </c>
      <c r="L432" s="5" t="n"/>
      <c r="M432">
        <f>IF(OR($A432="",$L432=""),"",L432-F432)</f>
        <v/>
      </c>
      <c r="N432" s="5" t="n"/>
      <c r="O432" s="5" t="n"/>
    </row>
    <row r="433">
      <c r="A433">
        <f>IF('Blind Count Entry'!A431="","",'Blind Count Entry'!A431)</f>
        <v/>
      </c>
      <c r="B433" s="16">
        <f>IF($A433="","",'Blind Count Entry'!B431)</f>
        <v/>
      </c>
      <c r="C433">
        <f>IF($A433="","",'Blind Count Entry'!C431)</f>
        <v/>
      </c>
      <c r="D433">
        <f>IF($A433="","",'Blind Count Entry'!D431)</f>
        <v/>
      </c>
      <c r="E433">
        <f>IF($A433="","",IFERROR(INDEX('ABC Analysis'!$F:$F,MATCH($C433,'ABC Analysis'!$A:$A,0)),""))</f>
        <v/>
      </c>
      <c r="F433">
        <f>IF($A433="","",IFERROR(INDEX('Master Inventory'!$E:$E,MATCH($C433,'Master Inventory'!$A:$A,0)),0))</f>
        <v/>
      </c>
      <c r="G433">
        <f>IF($A433="","",'Blind Count Entry'!F431)</f>
        <v/>
      </c>
      <c r="H433">
        <f>IF($A433="","",G433-F433)</f>
        <v/>
      </c>
      <c r="I433" s="17">
        <f>IF($A433="","",IF(F433=0,IF(H433=0,0,1),ABS(H433)/F433))</f>
        <v/>
      </c>
      <c r="J433" s="18">
        <f>IF($A433="","",IF($E433="A",$E$1,IF($E433="B",$G$1,$I$1)))</f>
        <v/>
      </c>
      <c r="K433">
        <f>IF($A433="","",IF(H433=0,"MATCH",IF(I433&gt;J433,"RECOUNT","WITHIN TOLERANCE")))</f>
        <v/>
      </c>
      <c r="L433" s="5" t="n"/>
      <c r="M433">
        <f>IF(OR($A433="",$L433=""),"",L433-F433)</f>
        <v/>
      </c>
      <c r="N433" s="5" t="n"/>
      <c r="O433" s="5" t="n"/>
    </row>
    <row r="434">
      <c r="A434">
        <f>IF('Blind Count Entry'!A432="","",'Blind Count Entry'!A432)</f>
        <v/>
      </c>
      <c r="B434" s="16">
        <f>IF($A434="","",'Blind Count Entry'!B432)</f>
        <v/>
      </c>
      <c r="C434">
        <f>IF($A434="","",'Blind Count Entry'!C432)</f>
        <v/>
      </c>
      <c r="D434">
        <f>IF($A434="","",'Blind Count Entry'!D432)</f>
        <v/>
      </c>
      <c r="E434">
        <f>IF($A434="","",IFERROR(INDEX('ABC Analysis'!$F:$F,MATCH($C434,'ABC Analysis'!$A:$A,0)),""))</f>
        <v/>
      </c>
      <c r="F434">
        <f>IF($A434="","",IFERROR(INDEX('Master Inventory'!$E:$E,MATCH($C434,'Master Inventory'!$A:$A,0)),0))</f>
        <v/>
      </c>
      <c r="G434">
        <f>IF($A434="","",'Blind Count Entry'!F432)</f>
        <v/>
      </c>
      <c r="H434">
        <f>IF($A434="","",G434-F434)</f>
        <v/>
      </c>
      <c r="I434" s="17">
        <f>IF($A434="","",IF(F434=0,IF(H434=0,0,1),ABS(H434)/F434))</f>
        <v/>
      </c>
      <c r="J434" s="18">
        <f>IF($A434="","",IF($E434="A",$E$1,IF($E434="B",$G$1,$I$1)))</f>
        <v/>
      </c>
      <c r="K434">
        <f>IF($A434="","",IF(H434=0,"MATCH",IF(I434&gt;J434,"RECOUNT","WITHIN TOLERANCE")))</f>
        <v/>
      </c>
      <c r="L434" s="5" t="n"/>
      <c r="M434">
        <f>IF(OR($A434="",$L434=""),"",L434-F434)</f>
        <v/>
      </c>
      <c r="N434" s="5" t="n"/>
      <c r="O434" s="5" t="n"/>
    </row>
    <row r="435">
      <c r="A435">
        <f>IF('Blind Count Entry'!A433="","",'Blind Count Entry'!A433)</f>
        <v/>
      </c>
      <c r="B435" s="16">
        <f>IF($A435="","",'Blind Count Entry'!B433)</f>
        <v/>
      </c>
      <c r="C435">
        <f>IF($A435="","",'Blind Count Entry'!C433)</f>
        <v/>
      </c>
      <c r="D435">
        <f>IF($A435="","",'Blind Count Entry'!D433)</f>
        <v/>
      </c>
      <c r="E435">
        <f>IF($A435="","",IFERROR(INDEX('ABC Analysis'!$F:$F,MATCH($C435,'ABC Analysis'!$A:$A,0)),""))</f>
        <v/>
      </c>
      <c r="F435">
        <f>IF($A435="","",IFERROR(INDEX('Master Inventory'!$E:$E,MATCH($C435,'Master Inventory'!$A:$A,0)),0))</f>
        <v/>
      </c>
      <c r="G435">
        <f>IF($A435="","",'Blind Count Entry'!F433)</f>
        <v/>
      </c>
      <c r="H435">
        <f>IF($A435="","",G435-F435)</f>
        <v/>
      </c>
      <c r="I435" s="17">
        <f>IF($A435="","",IF(F435=0,IF(H435=0,0,1),ABS(H435)/F435))</f>
        <v/>
      </c>
      <c r="J435" s="18">
        <f>IF($A435="","",IF($E435="A",$E$1,IF($E435="B",$G$1,$I$1)))</f>
        <v/>
      </c>
      <c r="K435">
        <f>IF($A435="","",IF(H435=0,"MATCH",IF(I435&gt;J435,"RECOUNT","WITHIN TOLERANCE")))</f>
        <v/>
      </c>
      <c r="L435" s="5" t="n"/>
      <c r="M435">
        <f>IF(OR($A435="",$L435=""),"",L435-F435)</f>
        <v/>
      </c>
      <c r="N435" s="5" t="n"/>
      <c r="O435" s="5" t="n"/>
    </row>
    <row r="436">
      <c r="A436">
        <f>IF('Blind Count Entry'!A434="","",'Blind Count Entry'!A434)</f>
        <v/>
      </c>
      <c r="B436" s="16">
        <f>IF($A436="","",'Blind Count Entry'!B434)</f>
        <v/>
      </c>
      <c r="C436">
        <f>IF($A436="","",'Blind Count Entry'!C434)</f>
        <v/>
      </c>
      <c r="D436">
        <f>IF($A436="","",'Blind Count Entry'!D434)</f>
        <v/>
      </c>
      <c r="E436">
        <f>IF($A436="","",IFERROR(INDEX('ABC Analysis'!$F:$F,MATCH($C436,'ABC Analysis'!$A:$A,0)),""))</f>
        <v/>
      </c>
      <c r="F436">
        <f>IF($A436="","",IFERROR(INDEX('Master Inventory'!$E:$E,MATCH($C436,'Master Inventory'!$A:$A,0)),0))</f>
        <v/>
      </c>
      <c r="G436">
        <f>IF($A436="","",'Blind Count Entry'!F434)</f>
        <v/>
      </c>
      <c r="H436">
        <f>IF($A436="","",G436-F436)</f>
        <v/>
      </c>
      <c r="I436" s="17">
        <f>IF($A436="","",IF(F436=0,IF(H436=0,0,1),ABS(H436)/F436))</f>
        <v/>
      </c>
      <c r="J436" s="18">
        <f>IF($A436="","",IF($E436="A",$E$1,IF($E436="B",$G$1,$I$1)))</f>
        <v/>
      </c>
      <c r="K436">
        <f>IF($A436="","",IF(H436=0,"MATCH",IF(I436&gt;J436,"RECOUNT","WITHIN TOLERANCE")))</f>
        <v/>
      </c>
      <c r="L436" s="5" t="n"/>
      <c r="M436">
        <f>IF(OR($A436="",$L436=""),"",L436-F436)</f>
        <v/>
      </c>
      <c r="N436" s="5" t="n"/>
      <c r="O436" s="5" t="n"/>
    </row>
    <row r="437">
      <c r="A437">
        <f>IF('Blind Count Entry'!A435="","",'Blind Count Entry'!A435)</f>
        <v/>
      </c>
      <c r="B437" s="16">
        <f>IF($A437="","",'Blind Count Entry'!B435)</f>
        <v/>
      </c>
      <c r="C437">
        <f>IF($A437="","",'Blind Count Entry'!C435)</f>
        <v/>
      </c>
      <c r="D437">
        <f>IF($A437="","",'Blind Count Entry'!D435)</f>
        <v/>
      </c>
      <c r="E437">
        <f>IF($A437="","",IFERROR(INDEX('ABC Analysis'!$F:$F,MATCH($C437,'ABC Analysis'!$A:$A,0)),""))</f>
        <v/>
      </c>
      <c r="F437">
        <f>IF($A437="","",IFERROR(INDEX('Master Inventory'!$E:$E,MATCH($C437,'Master Inventory'!$A:$A,0)),0))</f>
        <v/>
      </c>
      <c r="G437">
        <f>IF($A437="","",'Blind Count Entry'!F435)</f>
        <v/>
      </c>
      <c r="H437">
        <f>IF($A437="","",G437-F437)</f>
        <v/>
      </c>
      <c r="I437" s="17">
        <f>IF($A437="","",IF(F437=0,IF(H437=0,0,1),ABS(H437)/F437))</f>
        <v/>
      </c>
      <c r="J437" s="18">
        <f>IF($A437="","",IF($E437="A",$E$1,IF($E437="B",$G$1,$I$1)))</f>
        <v/>
      </c>
      <c r="K437">
        <f>IF($A437="","",IF(H437=0,"MATCH",IF(I437&gt;J437,"RECOUNT","WITHIN TOLERANCE")))</f>
        <v/>
      </c>
      <c r="L437" s="5" t="n"/>
      <c r="M437">
        <f>IF(OR($A437="",$L437=""),"",L437-F437)</f>
        <v/>
      </c>
      <c r="N437" s="5" t="n"/>
      <c r="O437" s="5" t="n"/>
    </row>
    <row r="438">
      <c r="A438">
        <f>IF('Blind Count Entry'!A436="","",'Blind Count Entry'!A436)</f>
        <v/>
      </c>
      <c r="B438" s="16">
        <f>IF($A438="","",'Blind Count Entry'!B436)</f>
        <v/>
      </c>
      <c r="C438">
        <f>IF($A438="","",'Blind Count Entry'!C436)</f>
        <v/>
      </c>
      <c r="D438">
        <f>IF($A438="","",'Blind Count Entry'!D436)</f>
        <v/>
      </c>
      <c r="E438">
        <f>IF($A438="","",IFERROR(INDEX('ABC Analysis'!$F:$F,MATCH($C438,'ABC Analysis'!$A:$A,0)),""))</f>
        <v/>
      </c>
      <c r="F438">
        <f>IF($A438="","",IFERROR(INDEX('Master Inventory'!$E:$E,MATCH($C438,'Master Inventory'!$A:$A,0)),0))</f>
        <v/>
      </c>
      <c r="G438">
        <f>IF($A438="","",'Blind Count Entry'!F436)</f>
        <v/>
      </c>
      <c r="H438">
        <f>IF($A438="","",G438-F438)</f>
        <v/>
      </c>
      <c r="I438" s="17">
        <f>IF($A438="","",IF(F438=0,IF(H438=0,0,1),ABS(H438)/F438))</f>
        <v/>
      </c>
      <c r="J438" s="18">
        <f>IF($A438="","",IF($E438="A",$E$1,IF($E438="B",$G$1,$I$1)))</f>
        <v/>
      </c>
      <c r="K438">
        <f>IF($A438="","",IF(H438=0,"MATCH",IF(I438&gt;J438,"RECOUNT","WITHIN TOLERANCE")))</f>
        <v/>
      </c>
      <c r="L438" s="5" t="n"/>
      <c r="M438">
        <f>IF(OR($A438="",$L438=""),"",L438-F438)</f>
        <v/>
      </c>
      <c r="N438" s="5" t="n"/>
      <c r="O438" s="5" t="n"/>
    </row>
    <row r="439">
      <c r="A439">
        <f>IF('Blind Count Entry'!A437="","",'Blind Count Entry'!A437)</f>
        <v/>
      </c>
      <c r="B439" s="16">
        <f>IF($A439="","",'Blind Count Entry'!B437)</f>
        <v/>
      </c>
      <c r="C439">
        <f>IF($A439="","",'Blind Count Entry'!C437)</f>
        <v/>
      </c>
      <c r="D439">
        <f>IF($A439="","",'Blind Count Entry'!D437)</f>
        <v/>
      </c>
      <c r="E439">
        <f>IF($A439="","",IFERROR(INDEX('ABC Analysis'!$F:$F,MATCH($C439,'ABC Analysis'!$A:$A,0)),""))</f>
        <v/>
      </c>
      <c r="F439">
        <f>IF($A439="","",IFERROR(INDEX('Master Inventory'!$E:$E,MATCH($C439,'Master Inventory'!$A:$A,0)),0))</f>
        <v/>
      </c>
      <c r="G439">
        <f>IF($A439="","",'Blind Count Entry'!F437)</f>
        <v/>
      </c>
      <c r="H439">
        <f>IF($A439="","",G439-F439)</f>
        <v/>
      </c>
      <c r="I439" s="17">
        <f>IF($A439="","",IF(F439=0,IF(H439=0,0,1),ABS(H439)/F439))</f>
        <v/>
      </c>
      <c r="J439" s="18">
        <f>IF($A439="","",IF($E439="A",$E$1,IF($E439="B",$G$1,$I$1)))</f>
        <v/>
      </c>
      <c r="K439">
        <f>IF($A439="","",IF(H439=0,"MATCH",IF(I439&gt;J439,"RECOUNT","WITHIN TOLERANCE")))</f>
        <v/>
      </c>
      <c r="L439" s="5" t="n"/>
      <c r="M439">
        <f>IF(OR($A439="",$L439=""),"",L439-F439)</f>
        <v/>
      </c>
      <c r="N439" s="5" t="n"/>
      <c r="O439" s="5" t="n"/>
    </row>
    <row r="440">
      <c r="A440">
        <f>IF('Blind Count Entry'!A438="","",'Blind Count Entry'!A438)</f>
        <v/>
      </c>
      <c r="B440" s="16">
        <f>IF($A440="","",'Blind Count Entry'!B438)</f>
        <v/>
      </c>
      <c r="C440">
        <f>IF($A440="","",'Blind Count Entry'!C438)</f>
        <v/>
      </c>
      <c r="D440">
        <f>IF($A440="","",'Blind Count Entry'!D438)</f>
        <v/>
      </c>
      <c r="E440">
        <f>IF($A440="","",IFERROR(INDEX('ABC Analysis'!$F:$F,MATCH($C440,'ABC Analysis'!$A:$A,0)),""))</f>
        <v/>
      </c>
      <c r="F440">
        <f>IF($A440="","",IFERROR(INDEX('Master Inventory'!$E:$E,MATCH($C440,'Master Inventory'!$A:$A,0)),0))</f>
        <v/>
      </c>
      <c r="G440">
        <f>IF($A440="","",'Blind Count Entry'!F438)</f>
        <v/>
      </c>
      <c r="H440">
        <f>IF($A440="","",G440-F440)</f>
        <v/>
      </c>
      <c r="I440" s="17">
        <f>IF($A440="","",IF(F440=0,IF(H440=0,0,1),ABS(H440)/F440))</f>
        <v/>
      </c>
      <c r="J440" s="18">
        <f>IF($A440="","",IF($E440="A",$E$1,IF($E440="B",$G$1,$I$1)))</f>
        <v/>
      </c>
      <c r="K440">
        <f>IF($A440="","",IF(H440=0,"MATCH",IF(I440&gt;J440,"RECOUNT","WITHIN TOLERANCE")))</f>
        <v/>
      </c>
      <c r="L440" s="5" t="n"/>
      <c r="M440">
        <f>IF(OR($A440="",$L440=""),"",L440-F440)</f>
        <v/>
      </c>
      <c r="N440" s="5" t="n"/>
      <c r="O440" s="5" t="n"/>
    </row>
    <row r="441">
      <c r="A441">
        <f>IF('Blind Count Entry'!A439="","",'Blind Count Entry'!A439)</f>
        <v/>
      </c>
      <c r="B441" s="16">
        <f>IF($A441="","",'Blind Count Entry'!B439)</f>
        <v/>
      </c>
      <c r="C441">
        <f>IF($A441="","",'Blind Count Entry'!C439)</f>
        <v/>
      </c>
      <c r="D441">
        <f>IF($A441="","",'Blind Count Entry'!D439)</f>
        <v/>
      </c>
      <c r="E441">
        <f>IF($A441="","",IFERROR(INDEX('ABC Analysis'!$F:$F,MATCH($C441,'ABC Analysis'!$A:$A,0)),""))</f>
        <v/>
      </c>
      <c r="F441">
        <f>IF($A441="","",IFERROR(INDEX('Master Inventory'!$E:$E,MATCH($C441,'Master Inventory'!$A:$A,0)),0))</f>
        <v/>
      </c>
      <c r="G441">
        <f>IF($A441="","",'Blind Count Entry'!F439)</f>
        <v/>
      </c>
      <c r="H441">
        <f>IF($A441="","",G441-F441)</f>
        <v/>
      </c>
      <c r="I441" s="17">
        <f>IF($A441="","",IF(F441=0,IF(H441=0,0,1),ABS(H441)/F441))</f>
        <v/>
      </c>
      <c r="J441" s="18">
        <f>IF($A441="","",IF($E441="A",$E$1,IF($E441="B",$G$1,$I$1)))</f>
        <v/>
      </c>
      <c r="K441">
        <f>IF($A441="","",IF(H441=0,"MATCH",IF(I441&gt;J441,"RECOUNT","WITHIN TOLERANCE")))</f>
        <v/>
      </c>
      <c r="L441" s="5" t="n"/>
      <c r="M441">
        <f>IF(OR($A441="",$L441=""),"",L441-F441)</f>
        <v/>
      </c>
      <c r="N441" s="5" t="n"/>
      <c r="O441" s="5" t="n"/>
    </row>
    <row r="442">
      <c r="A442">
        <f>IF('Blind Count Entry'!A440="","",'Blind Count Entry'!A440)</f>
        <v/>
      </c>
      <c r="B442" s="16">
        <f>IF($A442="","",'Blind Count Entry'!B440)</f>
        <v/>
      </c>
      <c r="C442">
        <f>IF($A442="","",'Blind Count Entry'!C440)</f>
        <v/>
      </c>
      <c r="D442">
        <f>IF($A442="","",'Blind Count Entry'!D440)</f>
        <v/>
      </c>
      <c r="E442">
        <f>IF($A442="","",IFERROR(INDEX('ABC Analysis'!$F:$F,MATCH($C442,'ABC Analysis'!$A:$A,0)),""))</f>
        <v/>
      </c>
      <c r="F442">
        <f>IF($A442="","",IFERROR(INDEX('Master Inventory'!$E:$E,MATCH($C442,'Master Inventory'!$A:$A,0)),0))</f>
        <v/>
      </c>
      <c r="G442">
        <f>IF($A442="","",'Blind Count Entry'!F440)</f>
        <v/>
      </c>
      <c r="H442">
        <f>IF($A442="","",G442-F442)</f>
        <v/>
      </c>
      <c r="I442" s="17">
        <f>IF($A442="","",IF(F442=0,IF(H442=0,0,1),ABS(H442)/F442))</f>
        <v/>
      </c>
      <c r="J442" s="18">
        <f>IF($A442="","",IF($E442="A",$E$1,IF($E442="B",$G$1,$I$1)))</f>
        <v/>
      </c>
      <c r="K442">
        <f>IF($A442="","",IF(H442=0,"MATCH",IF(I442&gt;J442,"RECOUNT","WITHIN TOLERANCE")))</f>
        <v/>
      </c>
      <c r="L442" s="5" t="n"/>
      <c r="M442">
        <f>IF(OR($A442="",$L442=""),"",L442-F442)</f>
        <v/>
      </c>
      <c r="N442" s="5" t="n"/>
      <c r="O442" s="5" t="n"/>
    </row>
    <row r="443">
      <c r="A443">
        <f>IF('Blind Count Entry'!A441="","",'Blind Count Entry'!A441)</f>
        <v/>
      </c>
      <c r="B443" s="16">
        <f>IF($A443="","",'Blind Count Entry'!B441)</f>
        <v/>
      </c>
      <c r="C443">
        <f>IF($A443="","",'Blind Count Entry'!C441)</f>
        <v/>
      </c>
      <c r="D443">
        <f>IF($A443="","",'Blind Count Entry'!D441)</f>
        <v/>
      </c>
      <c r="E443">
        <f>IF($A443="","",IFERROR(INDEX('ABC Analysis'!$F:$F,MATCH($C443,'ABC Analysis'!$A:$A,0)),""))</f>
        <v/>
      </c>
      <c r="F443">
        <f>IF($A443="","",IFERROR(INDEX('Master Inventory'!$E:$E,MATCH($C443,'Master Inventory'!$A:$A,0)),0))</f>
        <v/>
      </c>
      <c r="G443">
        <f>IF($A443="","",'Blind Count Entry'!F441)</f>
        <v/>
      </c>
      <c r="H443">
        <f>IF($A443="","",G443-F443)</f>
        <v/>
      </c>
      <c r="I443" s="17">
        <f>IF($A443="","",IF(F443=0,IF(H443=0,0,1),ABS(H443)/F443))</f>
        <v/>
      </c>
      <c r="J443" s="18">
        <f>IF($A443="","",IF($E443="A",$E$1,IF($E443="B",$G$1,$I$1)))</f>
        <v/>
      </c>
      <c r="K443">
        <f>IF($A443="","",IF(H443=0,"MATCH",IF(I443&gt;J443,"RECOUNT","WITHIN TOLERANCE")))</f>
        <v/>
      </c>
      <c r="L443" s="5" t="n"/>
      <c r="M443">
        <f>IF(OR($A443="",$L443=""),"",L443-F443)</f>
        <v/>
      </c>
      <c r="N443" s="5" t="n"/>
      <c r="O443" s="5" t="n"/>
    </row>
    <row r="444">
      <c r="A444">
        <f>IF('Blind Count Entry'!A442="","",'Blind Count Entry'!A442)</f>
        <v/>
      </c>
      <c r="B444" s="16">
        <f>IF($A444="","",'Blind Count Entry'!B442)</f>
        <v/>
      </c>
      <c r="C444">
        <f>IF($A444="","",'Blind Count Entry'!C442)</f>
        <v/>
      </c>
      <c r="D444">
        <f>IF($A444="","",'Blind Count Entry'!D442)</f>
        <v/>
      </c>
      <c r="E444">
        <f>IF($A444="","",IFERROR(INDEX('ABC Analysis'!$F:$F,MATCH($C444,'ABC Analysis'!$A:$A,0)),""))</f>
        <v/>
      </c>
      <c r="F444">
        <f>IF($A444="","",IFERROR(INDEX('Master Inventory'!$E:$E,MATCH($C444,'Master Inventory'!$A:$A,0)),0))</f>
        <v/>
      </c>
      <c r="G444">
        <f>IF($A444="","",'Blind Count Entry'!F442)</f>
        <v/>
      </c>
      <c r="H444">
        <f>IF($A444="","",G444-F444)</f>
        <v/>
      </c>
      <c r="I444" s="17">
        <f>IF($A444="","",IF(F444=0,IF(H444=0,0,1),ABS(H444)/F444))</f>
        <v/>
      </c>
      <c r="J444" s="18">
        <f>IF($A444="","",IF($E444="A",$E$1,IF($E444="B",$G$1,$I$1)))</f>
        <v/>
      </c>
      <c r="K444">
        <f>IF($A444="","",IF(H444=0,"MATCH",IF(I444&gt;J444,"RECOUNT","WITHIN TOLERANCE")))</f>
        <v/>
      </c>
      <c r="L444" s="5" t="n"/>
      <c r="M444">
        <f>IF(OR($A444="",$L444=""),"",L444-F444)</f>
        <v/>
      </c>
      <c r="N444" s="5" t="n"/>
      <c r="O444" s="5" t="n"/>
    </row>
    <row r="445">
      <c r="A445">
        <f>IF('Blind Count Entry'!A443="","",'Blind Count Entry'!A443)</f>
        <v/>
      </c>
      <c r="B445" s="16">
        <f>IF($A445="","",'Blind Count Entry'!B443)</f>
        <v/>
      </c>
      <c r="C445">
        <f>IF($A445="","",'Blind Count Entry'!C443)</f>
        <v/>
      </c>
      <c r="D445">
        <f>IF($A445="","",'Blind Count Entry'!D443)</f>
        <v/>
      </c>
      <c r="E445">
        <f>IF($A445="","",IFERROR(INDEX('ABC Analysis'!$F:$F,MATCH($C445,'ABC Analysis'!$A:$A,0)),""))</f>
        <v/>
      </c>
      <c r="F445">
        <f>IF($A445="","",IFERROR(INDEX('Master Inventory'!$E:$E,MATCH($C445,'Master Inventory'!$A:$A,0)),0))</f>
        <v/>
      </c>
      <c r="G445">
        <f>IF($A445="","",'Blind Count Entry'!F443)</f>
        <v/>
      </c>
      <c r="H445">
        <f>IF($A445="","",G445-F445)</f>
        <v/>
      </c>
      <c r="I445" s="17">
        <f>IF($A445="","",IF(F445=0,IF(H445=0,0,1),ABS(H445)/F445))</f>
        <v/>
      </c>
      <c r="J445" s="18">
        <f>IF($A445="","",IF($E445="A",$E$1,IF($E445="B",$G$1,$I$1)))</f>
        <v/>
      </c>
      <c r="K445">
        <f>IF($A445="","",IF(H445=0,"MATCH",IF(I445&gt;J445,"RECOUNT","WITHIN TOLERANCE")))</f>
        <v/>
      </c>
      <c r="L445" s="5" t="n"/>
      <c r="M445">
        <f>IF(OR($A445="",$L445=""),"",L445-F445)</f>
        <v/>
      </c>
      <c r="N445" s="5" t="n"/>
      <c r="O445" s="5" t="n"/>
    </row>
    <row r="446">
      <c r="A446">
        <f>IF('Blind Count Entry'!A444="","",'Blind Count Entry'!A444)</f>
        <v/>
      </c>
      <c r="B446" s="16">
        <f>IF($A446="","",'Blind Count Entry'!B444)</f>
        <v/>
      </c>
      <c r="C446">
        <f>IF($A446="","",'Blind Count Entry'!C444)</f>
        <v/>
      </c>
      <c r="D446">
        <f>IF($A446="","",'Blind Count Entry'!D444)</f>
        <v/>
      </c>
      <c r="E446">
        <f>IF($A446="","",IFERROR(INDEX('ABC Analysis'!$F:$F,MATCH($C446,'ABC Analysis'!$A:$A,0)),""))</f>
        <v/>
      </c>
      <c r="F446">
        <f>IF($A446="","",IFERROR(INDEX('Master Inventory'!$E:$E,MATCH($C446,'Master Inventory'!$A:$A,0)),0))</f>
        <v/>
      </c>
      <c r="G446">
        <f>IF($A446="","",'Blind Count Entry'!F444)</f>
        <v/>
      </c>
      <c r="H446">
        <f>IF($A446="","",G446-F446)</f>
        <v/>
      </c>
      <c r="I446" s="17">
        <f>IF($A446="","",IF(F446=0,IF(H446=0,0,1),ABS(H446)/F446))</f>
        <v/>
      </c>
      <c r="J446" s="18">
        <f>IF($A446="","",IF($E446="A",$E$1,IF($E446="B",$G$1,$I$1)))</f>
        <v/>
      </c>
      <c r="K446">
        <f>IF($A446="","",IF(H446=0,"MATCH",IF(I446&gt;J446,"RECOUNT","WITHIN TOLERANCE")))</f>
        <v/>
      </c>
      <c r="L446" s="5" t="n"/>
      <c r="M446">
        <f>IF(OR($A446="",$L446=""),"",L446-F446)</f>
        <v/>
      </c>
      <c r="N446" s="5" t="n"/>
      <c r="O446" s="5" t="n"/>
    </row>
    <row r="447">
      <c r="A447">
        <f>IF('Blind Count Entry'!A445="","",'Blind Count Entry'!A445)</f>
        <v/>
      </c>
      <c r="B447" s="16">
        <f>IF($A447="","",'Blind Count Entry'!B445)</f>
        <v/>
      </c>
      <c r="C447">
        <f>IF($A447="","",'Blind Count Entry'!C445)</f>
        <v/>
      </c>
      <c r="D447">
        <f>IF($A447="","",'Blind Count Entry'!D445)</f>
        <v/>
      </c>
      <c r="E447">
        <f>IF($A447="","",IFERROR(INDEX('ABC Analysis'!$F:$F,MATCH($C447,'ABC Analysis'!$A:$A,0)),""))</f>
        <v/>
      </c>
      <c r="F447">
        <f>IF($A447="","",IFERROR(INDEX('Master Inventory'!$E:$E,MATCH($C447,'Master Inventory'!$A:$A,0)),0))</f>
        <v/>
      </c>
      <c r="G447">
        <f>IF($A447="","",'Blind Count Entry'!F445)</f>
        <v/>
      </c>
      <c r="H447">
        <f>IF($A447="","",G447-F447)</f>
        <v/>
      </c>
      <c r="I447" s="17">
        <f>IF($A447="","",IF(F447=0,IF(H447=0,0,1),ABS(H447)/F447))</f>
        <v/>
      </c>
      <c r="J447" s="18">
        <f>IF($A447="","",IF($E447="A",$E$1,IF($E447="B",$G$1,$I$1)))</f>
        <v/>
      </c>
      <c r="K447">
        <f>IF($A447="","",IF(H447=0,"MATCH",IF(I447&gt;J447,"RECOUNT","WITHIN TOLERANCE")))</f>
        <v/>
      </c>
      <c r="L447" s="5" t="n"/>
      <c r="M447">
        <f>IF(OR($A447="",$L447=""),"",L447-F447)</f>
        <v/>
      </c>
      <c r="N447" s="5" t="n"/>
      <c r="O447" s="5" t="n"/>
    </row>
    <row r="448">
      <c r="A448">
        <f>IF('Blind Count Entry'!A446="","",'Blind Count Entry'!A446)</f>
        <v/>
      </c>
      <c r="B448" s="16">
        <f>IF($A448="","",'Blind Count Entry'!B446)</f>
        <v/>
      </c>
      <c r="C448">
        <f>IF($A448="","",'Blind Count Entry'!C446)</f>
        <v/>
      </c>
      <c r="D448">
        <f>IF($A448="","",'Blind Count Entry'!D446)</f>
        <v/>
      </c>
      <c r="E448">
        <f>IF($A448="","",IFERROR(INDEX('ABC Analysis'!$F:$F,MATCH($C448,'ABC Analysis'!$A:$A,0)),""))</f>
        <v/>
      </c>
      <c r="F448">
        <f>IF($A448="","",IFERROR(INDEX('Master Inventory'!$E:$E,MATCH($C448,'Master Inventory'!$A:$A,0)),0))</f>
        <v/>
      </c>
      <c r="G448">
        <f>IF($A448="","",'Blind Count Entry'!F446)</f>
        <v/>
      </c>
      <c r="H448">
        <f>IF($A448="","",G448-F448)</f>
        <v/>
      </c>
      <c r="I448" s="17">
        <f>IF($A448="","",IF(F448=0,IF(H448=0,0,1),ABS(H448)/F448))</f>
        <v/>
      </c>
      <c r="J448" s="18">
        <f>IF($A448="","",IF($E448="A",$E$1,IF($E448="B",$G$1,$I$1)))</f>
        <v/>
      </c>
      <c r="K448">
        <f>IF($A448="","",IF(H448=0,"MATCH",IF(I448&gt;J448,"RECOUNT","WITHIN TOLERANCE")))</f>
        <v/>
      </c>
      <c r="L448" s="5" t="n"/>
      <c r="M448">
        <f>IF(OR($A448="",$L448=""),"",L448-F448)</f>
        <v/>
      </c>
      <c r="N448" s="5" t="n"/>
      <c r="O448" s="5" t="n"/>
    </row>
    <row r="449">
      <c r="A449">
        <f>IF('Blind Count Entry'!A447="","",'Blind Count Entry'!A447)</f>
        <v/>
      </c>
      <c r="B449" s="16">
        <f>IF($A449="","",'Blind Count Entry'!B447)</f>
        <v/>
      </c>
      <c r="C449">
        <f>IF($A449="","",'Blind Count Entry'!C447)</f>
        <v/>
      </c>
      <c r="D449">
        <f>IF($A449="","",'Blind Count Entry'!D447)</f>
        <v/>
      </c>
      <c r="E449">
        <f>IF($A449="","",IFERROR(INDEX('ABC Analysis'!$F:$F,MATCH($C449,'ABC Analysis'!$A:$A,0)),""))</f>
        <v/>
      </c>
      <c r="F449">
        <f>IF($A449="","",IFERROR(INDEX('Master Inventory'!$E:$E,MATCH($C449,'Master Inventory'!$A:$A,0)),0))</f>
        <v/>
      </c>
      <c r="G449">
        <f>IF($A449="","",'Blind Count Entry'!F447)</f>
        <v/>
      </c>
      <c r="H449">
        <f>IF($A449="","",G449-F449)</f>
        <v/>
      </c>
      <c r="I449" s="17">
        <f>IF($A449="","",IF(F449=0,IF(H449=0,0,1),ABS(H449)/F449))</f>
        <v/>
      </c>
      <c r="J449" s="18">
        <f>IF($A449="","",IF($E449="A",$E$1,IF($E449="B",$G$1,$I$1)))</f>
        <v/>
      </c>
      <c r="K449">
        <f>IF($A449="","",IF(H449=0,"MATCH",IF(I449&gt;J449,"RECOUNT","WITHIN TOLERANCE")))</f>
        <v/>
      </c>
      <c r="L449" s="5" t="n"/>
      <c r="M449">
        <f>IF(OR($A449="",$L449=""),"",L449-F449)</f>
        <v/>
      </c>
      <c r="N449" s="5" t="n"/>
      <c r="O449" s="5" t="n"/>
    </row>
    <row r="450">
      <c r="A450">
        <f>IF('Blind Count Entry'!A448="","",'Blind Count Entry'!A448)</f>
        <v/>
      </c>
      <c r="B450" s="16">
        <f>IF($A450="","",'Blind Count Entry'!B448)</f>
        <v/>
      </c>
      <c r="C450">
        <f>IF($A450="","",'Blind Count Entry'!C448)</f>
        <v/>
      </c>
      <c r="D450">
        <f>IF($A450="","",'Blind Count Entry'!D448)</f>
        <v/>
      </c>
      <c r="E450">
        <f>IF($A450="","",IFERROR(INDEX('ABC Analysis'!$F:$F,MATCH($C450,'ABC Analysis'!$A:$A,0)),""))</f>
        <v/>
      </c>
      <c r="F450">
        <f>IF($A450="","",IFERROR(INDEX('Master Inventory'!$E:$E,MATCH($C450,'Master Inventory'!$A:$A,0)),0))</f>
        <v/>
      </c>
      <c r="G450">
        <f>IF($A450="","",'Blind Count Entry'!F448)</f>
        <v/>
      </c>
      <c r="H450">
        <f>IF($A450="","",G450-F450)</f>
        <v/>
      </c>
      <c r="I450" s="17">
        <f>IF($A450="","",IF(F450=0,IF(H450=0,0,1),ABS(H450)/F450))</f>
        <v/>
      </c>
      <c r="J450" s="18">
        <f>IF($A450="","",IF($E450="A",$E$1,IF($E450="B",$G$1,$I$1)))</f>
        <v/>
      </c>
      <c r="K450">
        <f>IF($A450="","",IF(H450=0,"MATCH",IF(I450&gt;J450,"RECOUNT","WITHIN TOLERANCE")))</f>
        <v/>
      </c>
      <c r="L450" s="5" t="n"/>
      <c r="M450">
        <f>IF(OR($A450="",$L450=""),"",L450-F450)</f>
        <v/>
      </c>
      <c r="N450" s="5" t="n"/>
      <c r="O450" s="5" t="n"/>
    </row>
    <row r="451">
      <c r="A451">
        <f>IF('Blind Count Entry'!A449="","",'Blind Count Entry'!A449)</f>
        <v/>
      </c>
      <c r="B451" s="16">
        <f>IF($A451="","",'Blind Count Entry'!B449)</f>
        <v/>
      </c>
      <c r="C451">
        <f>IF($A451="","",'Blind Count Entry'!C449)</f>
        <v/>
      </c>
      <c r="D451">
        <f>IF($A451="","",'Blind Count Entry'!D449)</f>
        <v/>
      </c>
      <c r="E451">
        <f>IF($A451="","",IFERROR(INDEX('ABC Analysis'!$F:$F,MATCH($C451,'ABC Analysis'!$A:$A,0)),""))</f>
        <v/>
      </c>
      <c r="F451">
        <f>IF($A451="","",IFERROR(INDEX('Master Inventory'!$E:$E,MATCH($C451,'Master Inventory'!$A:$A,0)),0))</f>
        <v/>
      </c>
      <c r="G451">
        <f>IF($A451="","",'Blind Count Entry'!F449)</f>
        <v/>
      </c>
      <c r="H451">
        <f>IF($A451="","",G451-F451)</f>
        <v/>
      </c>
      <c r="I451" s="17">
        <f>IF($A451="","",IF(F451=0,IF(H451=0,0,1),ABS(H451)/F451))</f>
        <v/>
      </c>
      <c r="J451" s="18">
        <f>IF($A451="","",IF($E451="A",$E$1,IF($E451="B",$G$1,$I$1)))</f>
        <v/>
      </c>
      <c r="K451">
        <f>IF($A451="","",IF(H451=0,"MATCH",IF(I451&gt;J451,"RECOUNT","WITHIN TOLERANCE")))</f>
        <v/>
      </c>
      <c r="L451" s="5" t="n"/>
      <c r="M451">
        <f>IF(OR($A451="",$L451=""),"",L451-F451)</f>
        <v/>
      </c>
      <c r="N451" s="5" t="n"/>
      <c r="O451" s="5" t="n"/>
    </row>
    <row r="452">
      <c r="A452">
        <f>IF('Blind Count Entry'!A450="","",'Blind Count Entry'!A450)</f>
        <v/>
      </c>
      <c r="B452" s="16">
        <f>IF($A452="","",'Blind Count Entry'!B450)</f>
        <v/>
      </c>
      <c r="C452">
        <f>IF($A452="","",'Blind Count Entry'!C450)</f>
        <v/>
      </c>
      <c r="D452">
        <f>IF($A452="","",'Blind Count Entry'!D450)</f>
        <v/>
      </c>
      <c r="E452">
        <f>IF($A452="","",IFERROR(INDEX('ABC Analysis'!$F:$F,MATCH($C452,'ABC Analysis'!$A:$A,0)),""))</f>
        <v/>
      </c>
      <c r="F452">
        <f>IF($A452="","",IFERROR(INDEX('Master Inventory'!$E:$E,MATCH($C452,'Master Inventory'!$A:$A,0)),0))</f>
        <v/>
      </c>
      <c r="G452">
        <f>IF($A452="","",'Blind Count Entry'!F450)</f>
        <v/>
      </c>
      <c r="H452">
        <f>IF($A452="","",G452-F452)</f>
        <v/>
      </c>
      <c r="I452" s="17">
        <f>IF($A452="","",IF(F452=0,IF(H452=0,0,1),ABS(H452)/F452))</f>
        <v/>
      </c>
      <c r="J452" s="18">
        <f>IF($A452="","",IF($E452="A",$E$1,IF($E452="B",$G$1,$I$1)))</f>
        <v/>
      </c>
      <c r="K452">
        <f>IF($A452="","",IF(H452=0,"MATCH",IF(I452&gt;J452,"RECOUNT","WITHIN TOLERANCE")))</f>
        <v/>
      </c>
      <c r="L452" s="5" t="n"/>
      <c r="M452">
        <f>IF(OR($A452="",$L452=""),"",L452-F452)</f>
        <v/>
      </c>
      <c r="N452" s="5" t="n"/>
      <c r="O452" s="5" t="n"/>
    </row>
    <row r="453">
      <c r="A453">
        <f>IF('Blind Count Entry'!A451="","",'Blind Count Entry'!A451)</f>
        <v/>
      </c>
      <c r="B453" s="16">
        <f>IF($A453="","",'Blind Count Entry'!B451)</f>
        <v/>
      </c>
      <c r="C453">
        <f>IF($A453="","",'Blind Count Entry'!C451)</f>
        <v/>
      </c>
      <c r="D453">
        <f>IF($A453="","",'Blind Count Entry'!D451)</f>
        <v/>
      </c>
      <c r="E453">
        <f>IF($A453="","",IFERROR(INDEX('ABC Analysis'!$F:$F,MATCH($C453,'ABC Analysis'!$A:$A,0)),""))</f>
        <v/>
      </c>
      <c r="F453">
        <f>IF($A453="","",IFERROR(INDEX('Master Inventory'!$E:$E,MATCH($C453,'Master Inventory'!$A:$A,0)),0))</f>
        <v/>
      </c>
      <c r="G453">
        <f>IF($A453="","",'Blind Count Entry'!F451)</f>
        <v/>
      </c>
      <c r="H453">
        <f>IF($A453="","",G453-F453)</f>
        <v/>
      </c>
      <c r="I453" s="17">
        <f>IF($A453="","",IF(F453=0,IF(H453=0,0,1),ABS(H453)/F453))</f>
        <v/>
      </c>
      <c r="J453" s="18">
        <f>IF($A453="","",IF($E453="A",$E$1,IF($E453="B",$G$1,$I$1)))</f>
        <v/>
      </c>
      <c r="K453">
        <f>IF($A453="","",IF(H453=0,"MATCH",IF(I453&gt;J453,"RECOUNT","WITHIN TOLERANCE")))</f>
        <v/>
      </c>
      <c r="L453" s="5" t="n"/>
      <c r="M453">
        <f>IF(OR($A453="",$L453=""),"",L453-F453)</f>
        <v/>
      </c>
      <c r="N453" s="5" t="n"/>
      <c r="O453" s="5" t="n"/>
    </row>
    <row r="454">
      <c r="A454">
        <f>IF('Blind Count Entry'!A452="","",'Blind Count Entry'!A452)</f>
        <v/>
      </c>
      <c r="B454" s="16">
        <f>IF($A454="","",'Blind Count Entry'!B452)</f>
        <v/>
      </c>
      <c r="C454">
        <f>IF($A454="","",'Blind Count Entry'!C452)</f>
        <v/>
      </c>
      <c r="D454">
        <f>IF($A454="","",'Blind Count Entry'!D452)</f>
        <v/>
      </c>
      <c r="E454">
        <f>IF($A454="","",IFERROR(INDEX('ABC Analysis'!$F:$F,MATCH($C454,'ABC Analysis'!$A:$A,0)),""))</f>
        <v/>
      </c>
      <c r="F454">
        <f>IF($A454="","",IFERROR(INDEX('Master Inventory'!$E:$E,MATCH($C454,'Master Inventory'!$A:$A,0)),0))</f>
        <v/>
      </c>
      <c r="G454">
        <f>IF($A454="","",'Blind Count Entry'!F452)</f>
        <v/>
      </c>
      <c r="H454">
        <f>IF($A454="","",G454-F454)</f>
        <v/>
      </c>
      <c r="I454" s="17">
        <f>IF($A454="","",IF(F454=0,IF(H454=0,0,1),ABS(H454)/F454))</f>
        <v/>
      </c>
      <c r="J454" s="18">
        <f>IF($A454="","",IF($E454="A",$E$1,IF($E454="B",$G$1,$I$1)))</f>
        <v/>
      </c>
      <c r="K454">
        <f>IF($A454="","",IF(H454=0,"MATCH",IF(I454&gt;J454,"RECOUNT","WITHIN TOLERANCE")))</f>
        <v/>
      </c>
      <c r="L454" s="5" t="n"/>
      <c r="M454">
        <f>IF(OR($A454="",$L454=""),"",L454-F454)</f>
        <v/>
      </c>
      <c r="N454" s="5" t="n"/>
      <c r="O454" s="5" t="n"/>
    </row>
    <row r="455">
      <c r="A455">
        <f>IF('Blind Count Entry'!A453="","",'Blind Count Entry'!A453)</f>
        <v/>
      </c>
      <c r="B455" s="16">
        <f>IF($A455="","",'Blind Count Entry'!B453)</f>
        <v/>
      </c>
      <c r="C455">
        <f>IF($A455="","",'Blind Count Entry'!C453)</f>
        <v/>
      </c>
      <c r="D455">
        <f>IF($A455="","",'Blind Count Entry'!D453)</f>
        <v/>
      </c>
      <c r="E455">
        <f>IF($A455="","",IFERROR(INDEX('ABC Analysis'!$F:$F,MATCH($C455,'ABC Analysis'!$A:$A,0)),""))</f>
        <v/>
      </c>
      <c r="F455">
        <f>IF($A455="","",IFERROR(INDEX('Master Inventory'!$E:$E,MATCH($C455,'Master Inventory'!$A:$A,0)),0))</f>
        <v/>
      </c>
      <c r="G455">
        <f>IF($A455="","",'Blind Count Entry'!F453)</f>
        <v/>
      </c>
      <c r="H455">
        <f>IF($A455="","",G455-F455)</f>
        <v/>
      </c>
      <c r="I455" s="17">
        <f>IF($A455="","",IF(F455=0,IF(H455=0,0,1),ABS(H455)/F455))</f>
        <v/>
      </c>
      <c r="J455" s="18">
        <f>IF($A455="","",IF($E455="A",$E$1,IF($E455="B",$G$1,$I$1)))</f>
        <v/>
      </c>
      <c r="K455">
        <f>IF($A455="","",IF(H455=0,"MATCH",IF(I455&gt;J455,"RECOUNT","WITHIN TOLERANCE")))</f>
        <v/>
      </c>
      <c r="L455" s="5" t="n"/>
      <c r="M455">
        <f>IF(OR($A455="",$L455=""),"",L455-F455)</f>
        <v/>
      </c>
      <c r="N455" s="5" t="n"/>
      <c r="O455" s="5" t="n"/>
    </row>
    <row r="456">
      <c r="A456">
        <f>IF('Blind Count Entry'!A454="","",'Blind Count Entry'!A454)</f>
        <v/>
      </c>
      <c r="B456" s="16">
        <f>IF($A456="","",'Blind Count Entry'!B454)</f>
        <v/>
      </c>
      <c r="C456">
        <f>IF($A456="","",'Blind Count Entry'!C454)</f>
        <v/>
      </c>
      <c r="D456">
        <f>IF($A456="","",'Blind Count Entry'!D454)</f>
        <v/>
      </c>
      <c r="E456">
        <f>IF($A456="","",IFERROR(INDEX('ABC Analysis'!$F:$F,MATCH($C456,'ABC Analysis'!$A:$A,0)),""))</f>
        <v/>
      </c>
      <c r="F456">
        <f>IF($A456="","",IFERROR(INDEX('Master Inventory'!$E:$E,MATCH($C456,'Master Inventory'!$A:$A,0)),0))</f>
        <v/>
      </c>
      <c r="G456">
        <f>IF($A456="","",'Blind Count Entry'!F454)</f>
        <v/>
      </c>
      <c r="H456">
        <f>IF($A456="","",G456-F456)</f>
        <v/>
      </c>
      <c r="I456" s="17">
        <f>IF($A456="","",IF(F456=0,IF(H456=0,0,1),ABS(H456)/F456))</f>
        <v/>
      </c>
      <c r="J456" s="18">
        <f>IF($A456="","",IF($E456="A",$E$1,IF($E456="B",$G$1,$I$1)))</f>
        <v/>
      </c>
      <c r="K456">
        <f>IF($A456="","",IF(H456=0,"MATCH",IF(I456&gt;J456,"RECOUNT","WITHIN TOLERANCE")))</f>
        <v/>
      </c>
      <c r="L456" s="5" t="n"/>
      <c r="M456">
        <f>IF(OR($A456="",$L456=""),"",L456-F456)</f>
        <v/>
      </c>
      <c r="N456" s="5" t="n"/>
      <c r="O456" s="5" t="n"/>
    </row>
    <row r="457">
      <c r="A457">
        <f>IF('Blind Count Entry'!A455="","",'Blind Count Entry'!A455)</f>
        <v/>
      </c>
      <c r="B457" s="16">
        <f>IF($A457="","",'Blind Count Entry'!B455)</f>
        <v/>
      </c>
      <c r="C457">
        <f>IF($A457="","",'Blind Count Entry'!C455)</f>
        <v/>
      </c>
      <c r="D457">
        <f>IF($A457="","",'Blind Count Entry'!D455)</f>
        <v/>
      </c>
      <c r="E457">
        <f>IF($A457="","",IFERROR(INDEX('ABC Analysis'!$F:$F,MATCH($C457,'ABC Analysis'!$A:$A,0)),""))</f>
        <v/>
      </c>
      <c r="F457">
        <f>IF($A457="","",IFERROR(INDEX('Master Inventory'!$E:$E,MATCH($C457,'Master Inventory'!$A:$A,0)),0))</f>
        <v/>
      </c>
      <c r="G457">
        <f>IF($A457="","",'Blind Count Entry'!F455)</f>
        <v/>
      </c>
      <c r="H457">
        <f>IF($A457="","",G457-F457)</f>
        <v/>
      </c>
      <c r="I457" s="17">
        <f>IF($A457="","",IF(F457=0,IF(H457=0,0,1),ABS(H457)/F457))</f>
        <v/>
      </c>
      <c r="J457" s="18">
        <f>IF($A457="","",IF($E457="A",$E$1,IF($E457="B",$G$1,$I$1)))</f>
        <v/>
      </c>
      <c r="K457">
        <f>IF($A457="","",IF(H457=0,"MATCH",IF(I457&gt;J457,"RECOUNT","WITHIN TOLERANCE")))</f>
        <v/>
      </c>
      <c r="L457" s="5" t="n"/>
      <c r="M457">
        <f>IF(OR($A457="",$L457=""),"",L457-F457)</f>
        <v/>
      </c>
      <c r="N457" s="5" t="n"/>
      <c r="O457" s="5" t="n"/>
    </row>
    <row r="458">
      <c r="A458">
        <f>IF('Blind Count Entry'!A456="","",'Blind Count Entry'!A456)</f>
        <v/>
      </c>
      <c r="B458" s="16">
        <f>IF($A458="","",'Blind Count Entry'!B456)</f>
        <v/>
      </c>
      <c r="C458">
        <f>IF($A458="","",'Blind Count Entry'!C456)</f>
        <v/>
      </c>
      <c r="D458">
        <f>IF($A458="","",'Blind Count Entry'!D456)</f>
        <v/>
      </c>
      <c r="E458">
        <f>IF($A458="","",IFERROR(INDEX('ABC Analysis'!$F:$F,MATCH($C458,'ABC Analysis'!$A:$A,0)),""))</f>
        <v/>
      </c>
      <c r="F458">
        <f>IF($A458="","",IFERROR(INDEX('Master Inventory'!$E:$E,MATCH($C458,'Master Inventory'!$A:$A,0)),0))</f>
        <v/>
      </c>
      <c r="G458">
        <f>IF($A458="","",'Blind Count Entry'!F456)</f>
        <v/>
      </c>
      <c r="H458">
        <f>IF($A458="","",G458-F458)</f>
        <v/>
      </c>
      <c r="I458" s="17">
        <f>IF($A458="","",IF(F458=0,IF(H458=0,0,1),ABS(H458)/F458))</f>
        <v/>
      </c>
      <c r="J458" s="18">
        <f>IF($A458="","",IF($E458="A",$E$1,IF($E458="B",$G$1,$I$1)))</f>
        <v/>
      </c>
      <c r="K458">
        <f>IF($A458="","",IF(H458=0,"MATCH",IF(I458&gt;J458,"RECOUNT","WITHIN TOLERANCE")))</f>
        <v/>
      </c>
      <c r="L458" s="5" t="n"/>
      <c r="M458">
        <f>IF(OR($A458="",$L458=""),"",L458-F458)</f>
        <v/>
      </c>
      <c r="N458" s="5" t="n"/>
      <c r="O458" s="5" t="n"/>
    </row>
    <row r="459">
      <c r="A459">
        <f>IF('Blind Count Entry'!A457="","",'Blind Count Entry'!A457)</f>
        <v/>
      </c>
      <c r="B459" s="16">
        <f>IF($A459="","",'Blind Count Entry'!B457)</f>
        <v/>
      </c>
      <c r="C459">
        <f>IF($A459="","",'Blind Count Entry'!C457)</f>
        <v/>
      </c>
      <c r="D459">
        <f>IF($A459="","",'Blind Count Entry'!D457)</f>
        <v/>
      </c>
      <c r="E459">
        <f>IF($A459="","",IFERROR(INDEX('ABC Analysis'!$F:$F,MATCH($C459,'ABC Analysis'!$A:$A,0)),""))</f>
        <v/>
      </c>
      <c r="F459">
        <f>IF($A459="","",IFERROR(INDEX('Master Inventory'!$E:$E,MATCH($C459,'Master Inventory'!$A:$A,0)),0))</f>
        <v/>
      </c>
      <c r="G459">
        <f>IF($A459="","",'Blind Count Entry'!F457)</f>
        <v/>
      </c>
      <c r="H459">
        <f>IF($A459="","",G459-F459)</f>
        <v/>
      </c>
      <c r="I459" s="17">
        <f>IF($A459="","",IF(F459=0,IF(H459=0,0,1),ABS(H459)/F459))</f>
        <v/>
      </c>
      <c r="J459" s="18">
        <f>IF($A459="","",IF($E459="A",$E$1,IF($E459="B",$G$1,$I$1)))</f>
        <v/>
      </c>
      <c r="K459">
        <f>IF($A459="","",IF(H459=0,"MATCH",IF(I459&gt;J459,"RECOUNT","WITHIN TOLERANCE")))</f>
        <v/>
      </c>
      <c r="L459" s="5" t="n"/>
      <c r="M459">
        <f>IF(OR($A459="",$L459=""),"",L459-F459)</f>
        <v/>
      </c>
      <c r="N459" s="5" t="n"/>
      <c r="O459" s="5" t="n"/>
    </row>
    <row r="460">
      <c r="A460">
        <f>IF('Blind Count Entry'!A458="","",'Blind Count Entry'!A458)</f>
        <v/>
      </c>
      <c r="B460" s="16">
        <f>IF($A460="","",'Blind Count Entry'!B458)</f>
        <v/>
      </c>
      <c r="C460">
        <f>IF($A460="","",'Blind Count Entry'!C458)</f>
        <v/>
      </c>
      <c r="D460">
        <f>IF($A460="","",'Blind Count Entry'!D458)</f>
        <v/>
      </c>
      <c r="E460">
        <f>IF($A460="","",IFERROR(INDEX('ABC Analysis'!$F:$F,MATCH($C460,'ABC Analysis'!$A:$A,0)),""))</f>
        <v/>
      </c>
      <c r="F460">
        <f>IF($A460="","",IFERROR(INDEX('Master Inventory'!$E:$E,MATCH($C460,'Master Inventory'!$A:$A,0)),0))</f>
        <v/>
      </c>
      <c r="G460">
        <f>IF($A460="","",'Blind Count Entry'!F458)</f>
        <v/>
      </c>
      <c r="H460">
        <f>IF($A460="","",G460-F460)</f>
        <v/>
      </c>
      <c r="I460" s="17">
        <f>IF($A460="","",IF(F460=0,IF(H460=0,0,1),ABS(H460)/F460))</f>
        <v/>
      </c>
      <c r="J460" s="18">
        <f>IF($A460="","",IF($E460="A",$E$1,IF($E460="B",$G$1,$I$1)))</f>
        <v/>
      </c>
      <c r="K460">
        <f>IF($A460="","",IF(H460=0,"MATCH",IF(I460&gt;J460,"RECOUNT","WITHIN TOLERANCE")))</f>
        <v/>
      </c>
      <c r="L460" s="5" t="n"/>
      <c r="M460">
        <f>IF(OR($A460="",$L460=""),"",L460-F460)</f>
        <v/>
      </c>
      <c r="N460" s="5" t="n"/>
      <c r="O460" s="5" t="n"/>
    </row>
    <row r="461">
      <c r="A461">
        <f>IF('Blind Count Entry'!A459="","",'Blind Count Entry'!A459)</f>
        <v/>
      </c>
      <c r="B461" s="16">
        <f>IF($A461="","",'Blind Count Entry'!B459)</f>
        <v/>
      </c>
      <c r="C461">
        <f>IF($A461="","",'Blind Count Entry'!C459)</f>
        <v/>
      </c>
      <c r="D461">
        <f>IF($A461="","",'Blind Count Entry'!D459)</f>
        <v/>
      </c>
      <c r="E461">
        <f>IF($A461="","",IFERROR(INDEX('ABC Analysis'!$F:$F,MATCH($C461,'ABC Analysis'!$A:$A,0)),""))</f>
        <v/>
      </c>
      <c r="F461">
        <f>IF($A461="","",IFERROR(INDEX('Master Inventory'!$E:$E,MATCH($C461,'Master Inventory'!$A:$A,0)),0))</f>
        <v/>
      </c>
      <c r="G461">
        <f>IF($A461="","",'Blind Count Entry'!F459)</f>
        <v/>
      </c>
      <c r="H461">
        <f>IF($A461="","",G461-F461)</f>
        <v/>
      </c>
      <c r="I461" s="17">
        <f>IF($A461="","",IF(F461=0,IF(H461=0,0,1),ABS(H461)/F461))</f>
        <v/>
      </c>
      <c r="J461" s="18">
        <f>IF($A461="","",IF($E461="A",$E$1,IF($E461="B",$G$1,$I$1)))</f>
        <v/>
      </c>
      <c r="K461">
        <f>IF($A461="","",IF(H461=0,"MATCH",IF(I461&gt;J461,"RECOUNT","WITHIN TOLERANCE")))</f>
        <v/>
      </c>
      <c r="L461" s="5" t="n"/>
      <c r="M461">
        <f>IF(OR($A461="",$L461=""),"",L461-F461)</f>
        <v/>
      </c>
      <c r="N461" s="5" t="n"/>
      <c r="O461" s="5" t="n"/>
    </row>
    <row r="462">
      <c r="A462">
        <f>IF('Blind Count Entry'!A460="","",'Blind Count Entry'!A460)</f>
        <v/>
      </c>
      <c r="B462" s="16">
        <f>IF($A462="","",'Blind Count Entry'!B460)</f>
        <v/>
      </c>
      <c r="C462">
        <f>IF($A462="","",'Blind Count Entry'!C460)</f>
        <v/>
      </c>
      <c r="D462">
        <f>IF($A462="","",'Blind Count Entry'!D460)</f>
        <v/>
      </c>
      <c r="E462">
        <f>IF($A462="","",IFERROR(INDEX('ABC Analysis'!$F:$F,MATCH($C462,'ABC Analysis'!$A:$A,0)),""))</f>
        <v/>
      </c>
      <c r="F462">
        <f>IF($A462="","",IFERROR(INDEX('Master Inventory'!$E:$E,MATCH($C462,'Master Inventory'!$A:$A,0)),0))</f>
        <v/>
      </c>
      <c r="G462">
        <f>IF($A462="","",'Blind Count Entry'!F460)</f>
        <v/>
      </c>
      <c r="H462">
        <f>IF($A462="","",G462-F462)</f>
        <v/>
      </c>
      <c r="I462" s="17">
        <f>IF($A462="","",IF(F462=0,IF(H462=0,0,1),ABS(H462)/F462))</f>
        <v/>
      </c>
      <c r="J462" s="18">
        <f>IF($A462="","",IF($E462="A",$E$1,IF($E462="B",$G$1,$I$1)))</f>
        <v/>
      </c>
      <c r="K462">
        <f>IF($A462="","",IF(H462=0,"MATCH",IF(I462&gt;J462,"RECOUNT","WITHIN TOLERANCE")))</f>
        <v/>
      </c>
      <c r="L462" s="5" t="n"/>
      <c r="M462">
        <f>IF(OR($A462="",$L462=""),"",L462-F462)</f>
        <v/>
      </c>
      <c r="N462" s="5" t="n"/>
      <c r="O462" s="5" t="n"/>
    </row>
    <row r="463">
      <c r="A463">
        <f>IF('Blind Count Entry'!A461="","",'Blind Count Entry'!A461)</f>
        <v/>
      </c>
      <c r="B463" s="16">
        <f>IF($A463="","",'Blind Count Entry'!B461)</f>
        <v/>
      </c>
      <c r="C463">
        <f>IF($A463="","",'Blind Count Entry'!C461)</f>
        <v/>
      </c>
      <c r="D463">
        <f>IF($A463="","",'Blind Count Entry'!D461)</f>
        <v/>
      </c>
      <c r="E463">
        <f>IF($A463="","",IFERROR(INDEX('ABC Analysis'!$F:$F,MATCH($C463,'ABC Analysis'!$A:$A,0)),""))</f>
        <v/>
      </c>
      <c r="F463">
        <f>IF($A463="","",IFERROR(INDEX('Master Inventory'!$E:$E,MATCH($C463,'Master Inventory'!$A:$A,0)),0))</f>
        <v/>
      </c>
      <c r="G463">
        <f>IF($A463="","",'Blind Count Entry'!F461)</f>
        <v/>
      </c>
      <c r="H463">
        <f>IF($A463="","",G463-F463)</f>
        <v/>
      </c>
      <c r="I463" s="17">
        <f>IF($A463="","",IF(F463=0,IF(H463=0,0,1),ABS(H463)/F463))</f>
        <v/>
      </c>
      <c r="J463" s="18">
        <f>IF($A463="","",IF($E463="A",$E$1,IF($E463="B",$G$1,$I$1)))</f>
        <v/>
      </c>
      <c r="K463">
        <f>IF($A463="","",IF(H463=0,"MATCH",IF(I463&gt;J463,"RECOUNT","WITHIN TOLERANCE")))</f>
        <v/>
      </c>
      <c r="L463" s="5" t="n"/>
      <c r="M463">
        <f>IF(OR($A463="",$L463=""),"",L463-F463)</f>
        <v/>
      </c>
      <c r="N463" s="5" t="n"/>
      <c r="O463" s="5" t="n"/>
    </row>
    <row r="464">
      <c r="A464">
        <f>IF('Blind Count Entry'!A462="","",'Blind Count Entry'!A462)</f>
        <v/>
      </c>
      <c r="B464" s="16">
        <f>IF($A464="","",'Blind Count Entry'!B462)</f>
        <v/>
      </c>
      <c r="C464">
        <f>IF($A464="","",'Blind Count Entry'!C462)</f>
        <v/>
      </c>
      <c r="D464">
        <f>IF($A464="","",'Blind Count Entry'!D462)</f>
        <v/>
      </c>
      <c r="E464">
        <f>IF($A464="","",IFERROR(INDEX('ABC Analysis'!$F:$F,MATCH($C464,'ABC Analysis'!$A:$A,0)),""))</f>
        <v/>
      </c>
      <c r="F464">
        <f>IF($A464="","",IFERROR(INDEX('Master Inventory'!$E:$E,MATCH($C464,'Master Inventory'!$A:$A,0)),0))</f>
        <v/>
      </c>
      <c r="G464">
        <f>IF($A464="","",'Blind Count Entry'!F462)</f>
        <v/>
      </c>
      <c r="H464">
        <f>IF($A464="","",G464-F464)</f>
        <v/>
      </c>
      <c r="I464" s="17">
        <f>IF($A464="","",IF(F464=0,IF(H464=0,0,1),ABS(H464)/F464))</f>
        <v/>
      </c>
      <c r="J464" s="18">
        <f>IF($A464="","",IF($E464="A",$E$1,IF($E464="B",$G$1,$I$1)))</f>
        <v/>
      </c>
      <c r="K464">
        <f>IF($A464="","",IF(H464=0,"MATCH",IF(I464&gt;J464,"RECOUNT","WITHIN TOLERANCE")))</f>
        <v/>
      </c>
      <c r="L464" s="5" t="n"/>
      <c r="M464">
        <f>IF(OR($A464="",$L464=""),"",L464-F464)</f>
        <v/>
      </c>
      <c r="N464" s="5" t="n"/>
      <c r="O464" s="5" t="n"/>
    </row>
    <row r="465">
      <c r="A465">
        <f>IF('Blind Count Entry'!A463="","",'Blind Count Entry'!A463)</f>
        <v/>
      </c>
      <c r="B465" s="16">
        <f>IF($A465="","",'Blind Count Entry'!B463)</f>
        <v/>
      </c>
      <c r="C465">
        <f>IF($A465="","",'Blind Count Entry'!C463)</f>
        <v/>
      </c>
      <c r="D465">
        <f>IF($A465="","",'Blind Count Entry'!D463)</f>
        <v/>
      </c>
      <c r="E465">
        <f>IF($A465="","",IFERROR(INDEX('ABC Analysis'!$F:$F,MATCH($C465,'ABC Analysis'!$A:$A,0)),""))</f>
        <v/>
      </c>
      <c r="F465">
        <f>IF($A465="","",IFERROR(INDEX('Master Inventory'!$E:$E,MATCH($C465,'Master Inventory'!$A:$A,0)),0))</f>
        <v/>
      </c>
      <c r="G465">
        <f>IF($A465="","",'Blind Count Entry'!F463)</f>
        <v/>
      </c>
      <c r="H465">
        <f>IF($A465="","",G465-F465)</f>
        <v/>
      </c>
      <c r="I465" s="17">
        <f>IF($A465="","",IF(F465=0,IF(H465=0,0,1),ABS(H465)/F465))</f>
        <v/>
      </c>
      <c r="J465" s="18">
        <f>IF($A465="","",IF($E465="A",$E$1,IF($E465="B",$G$1,$I$1)))</f>
        <v/>
      </c>
      <c r="K465">
        <f>IF($A465="","",IF(H465=0,"MATCH",IF(I465&gt;J465,"RECOUNT","WITHIN TOLERANCE")))</f>
        <v/>
      </c>
      <c r="L465" s="5" t="n"/>
      <c r="M465">
        <f>IF(OR($A465="",$L465=""),"",L465-F465)</f>
        <v/>
      </c>
      <c r="N465" s="5" t="n"/>
      <c r="O465" s="5" t="n"/>
    </row>
    <row r="466">
      <c r="A466">
        <f>IF('Blind Count Entry'!A464="","",'Blind Count Entry'!A464)</f>
        <v/>
      </c>
      <c r="B466" s="16">
        <f>IF($A466="","",'Blind Count Entry'!B464)</f>
        <v/>
      </c>
      <c r="C466">
        <f>IF($A466="","",'Blind Count Entry'!C464)</f>
        <v/>
      </c>
      <c r="D466">
        <f>IF($A466="","",'Blind Count Entry'!D464)</f>
        <v/>
      </c>
      <c r="E466">
        <f>IF($A466="","",IFERROR(INDEX('ABC Analysis'!$F:$F,MATCH($C466,'ABC Analysis'!$A:$A,0)),""))</f>
        <v/>
      </c>
      <c r="F466">
        <f>IF($A466="","",IFERROR(INDEX('Master Inventory'!$E:$E,MATCH($C466,'Master Inventory'!$A:$A,0)),0))</f>
        <v/>
      </c>
      <c r="G466">
        <f>IF($A466="","",'Blind Count Entry'!F464)</f>
        <v/>
      </c>
      <c r="H466">
        <f>IF($A466="","",G466-F466)</f>
        <v/>
      </c>
      <c r="I466" s="17">
        <f>IF($A466="","",IF(F466=0,IF(H466=0,0,1),ABS(H466)/F466))</f>
        <v/>
      </c>
      <c r="J466" s="18">
        <f>IF($A466="","",IF($E466="A",$E$1,IF($E466="B",$G$1,$I$1)))</f>
        <v/>
      </c>
      <c r="K466">
        <f>IF($A466="","",IF(H466=0,"MATCH",IF(I466&gt;J466,"RECOUNT","WITHIN TOLERANCE")))</f>
        <v/>
      </c>
      <c r="L466" s="5" t="n"/>
      <c r="M466">
        <f>IF(OR($A466="",$L466=""),"",L466-F466)</f>
        <v/>
      </c>
      <c r="N466" s="5" t="n"/>
      <c r="O466" s="5" t="n"/>
    </row>
    <row r="467">
      <c r="A467">
        <f>IF('Blind Count Entry'!A465="","",'Blind Count Entry'!A465)</f>
        <v/>
      </c>
      <c r="B467" s="16">
        <f>IF($A467="","",'Blind Count Entry'!B465)</f>
        <v/>
      </c>
      <c r="C467">
        <f>IF($A467="","",'Blind Count Entry'!C465)</f>
        <v/>
      </c>
      <c r="D467">
        <f>IF($A467="","",'Blind Count Entry'!D465)</f>
        <v/>
      </c>
      <c r="E467">
        <f>IF($A467="","",IFERROR(INDEX('ABC Analysis'!$F:$F,MATCH($C467,'ABC Analysis'!$A:$A,0)),""))</f>
        <v/>
      </c>
      <c r="F467">
        <f>IF($A467="","",IFERROR(INDEX('Master Inventory'!$E:$E,MATCH($C467,'Master Inventory'!$A:$A,0)),0))</f>
        <v/>
      </c>
      <c r="G467">
        <f>IF($A467="","",'Blind Count Entry'!F465)</f>
        <v/>
      </c>
      <c r="H467">
        <f>IF($A467="","",G467-F467)</f>
        <v/>
      </c>
      <c r="I467" s="17">
        <f>IF($A467="","",IF(F467=0,IF(H467=0,0,1),ABS(H467)/F467))</f>
        <v/>
      </c>
      <c r="J467" s="18">
        <f>IF($A467="","",IF($E467="A",$E$1,IF($E467="B",$G$1,$I$1)))</f>
        <v/>
      </c>
      <c r="K467">
        <f>IF($A467="","",IF(H467=0,"MATCH",IF(I467&gt;J467,"RECOUNT","WITHIN TOLERANCE")))</f>
        <v/>
      </c>
      <c r="L467" s="5" t="n"/>
      <c r="M467">
        <f>IF(OR($A467="",$L467=""),"",L467-F467)</f>
        <v/>
      </c>
      <c r="N467" s="5" t="n"/>
      <c r="O467" s="5" t="n"/>
    </row>
    <row r="468">
      <c r="A468">
        <f>IF('Blind Count Entry'!A466="","",'Blind Count Entry'!A466)</f>
        <v/>
      </c>
      <c r="B468" s="16">
        <f>IF($A468="","",'Blind Count Entry'!B466)</f>
        <v/>
      </c>
      <c r="C468">
        <f>IF($A468="","",'Blind Count Entry'!C466)</f>
        <v/>
      </c>
      <c r="D468">
        <f>IF($A468="","",'Blind Count Entry'!D466)</f>
        <v/>
      </c>
      <c r="E468">
        <f>IF($A468="","",IFERROR(INDEX('ABC Analysis'!$F:$F,MATCH($C468,'ABC Analysis'!$A:$A,0)),""))</f>
        <v/>
      </c>
      <c r="F468">
        <f>IF($A468="","",IFERROR(INDEX('Master Inventory'!$E:$E,MATCH($C468,'Master Inventory'!$A:$A,0)),0))</f>
        <v/>
      </c>
      <c r="G468">
        <f>IF($A468="","",'Blind Count Entry'!F466)</f>
        <v/>
      </c>
      <c r="H468">
        <f>IF($A468="","",G468-F468)</f>
        <v/>
      </c>
      <c r="I468" s="17">
        <f>IF($A468="","",IF(F468=0,IF(H468=0,0,1),ABS(H468)/F468))</f>
        <v/>
      </c>
      <c r="J468" s="18">
        <f>IF($A468="","",IF($E468="A",$E$1,IF($E468="B",$G$1,$I$1)))</f>
        <v/>
      </c>
      <c r="K468">
        <f>IF($A468="","",IF(H468=0,"MATCH",IF(I468&gt;J468,"RECOUNT","WITHIN TOLERANCE")))</f>
        <v/>
      </c>
      <c r="L468" s="5" t="n"/>
      <c r="M468">
        <f>IF(OR($A468="",$L468=""),"",L468-F468)</f>
        <v/>
      </c>
      <c r="N468" s="5" t="n"/>
      <c r="O468" s="5" t="n"/>
    </row>
    <row r="469">
      <c r="A469">
        <f>IF('Blind Count Entry'!A467="","",'Blind Count Entry'!A467)</f>
        <v/>
      </c>
      <c r="B469" s="16">
        <f>IF($A469="","",'Blind Count Entry'!B467)</f>
        <v/>
      </c>
      <c r="C469">
        <f>IF($A469="","",'Blind Count Entry'!C467)</f>
        <v/>
      </c>
      <c r="D469">
        <f>IF($A469="","",'Blind Count Entry'!D467)</f>
        <v/>
      </c>
      <c r="E469">
        <f>IF($A469="","",IFERROR(INDEX('ABC Analysis'!$F:$F,MATCH($C469,'ABC Analysis'!$A:$A,0)),""))</f>
        <v/>
      </c>
      <c r="F469">
        <f>IF($A469="","",IFERROR(INDEX('Master Inventory'!$E:$E,MATCH($C469,'Master Inventory'!$A:$A,0)),0))</f>
        <v/>
      </c>
      <c r="G469">
        <f>IF($A469="","",'Blind Count Entry'!F467)</f>
        <v/>
      </c>
      <c r="H469">
        <f>IF($A469="","",G469-F469)</f>
        <v/>
      </c>
      <c r="I469" s="17">
        <f>IF($A469="","",IF(F469=0,IF(H469=0,0,1),ABS(H469)/F469))</f>
        <v/>
      </c>
      <c r="J469" s="18">
        <f>IF($A469="","",IF($E469="A",$E$1,IF($E469="B",$G$1,$I$1)))</f>
        <v/>
      </c>
      <c r="K469">
        <f>IF($A469="","",IF(H469=0,"MATCH",IF(I469&gt;J469,"RECOUNT","WITHIN TOLERANCE")))</f>
        <v/>
      </c>
      <c r="L469" s="5" t="n"/>
      <c r="M469">
        <f>IF(OR($A469="",$L469=""),"",L469-F469)</f>
        <v/>
      </c>
      <c r="N469" s="5" t="n"/>
      <c r="O469" s="5" t="n"/>
    </row>
    <row r="470">
      <c r="A470">
        <f>IF('Blind Count Entry'!A468="","",'Blind Count Entry'!A468)</f>
        <v/>
      </c>
      <c r="B470" s="16">
        <f>IF($A470="","",'Blind Count Entry'!B468)</f>
        <v/>
      </c>
      <c r="C470">
        <f>IF($A470="","",'Blind Count Entry'!C468)</f>
        <v/>
      </c>
      <c r="D470">
        <f>IF($A470="","",'Blind Count Entry'!D468)</f>
        <v/>
      </c>
      <c r="E470">
        <f>IF($A470="","",IFERROR(INDEX('ABC Analysis'!$F:$F,MATCH($C470,'ABC Analysis'!$A:$A,0)),""))</f>
        <v/>
      </c>
      <c r="F470">
        <f>IF($A470="","",IFERROR(INDEX('Master Inventory'!$E:$E,MATCH($C470,'Master Inventory'!$A:$A,0)),0))</f>
        <v/>
      </c>
      <c r="G470">
        <f>IF($A470="","",'Blind Count Entry'!F468)</f>
        <v/>
      </c>
      <c r="H470">
        <f>IF($A470="","",G470-F470)</f>
        <v/>
      </c>
      <c r="I470" s="17">
        <f>IF($A470="","",IF(F470=0,IF(H470=0,0,1),ABS(H470)/F470))</f>
        <v/>
      </c>
      <c r="J470" s="18">
        <f>IF($A470="","",IF($E470="A",$E$1,IF($E470="B",$G$1,$I$1)))</f>
        <v/>
      </c>
      <c r="K470">
        <f>IF($A470="","",IF(H470=0,"MATCH",IF(I470&gt;J470,"RECOUNT","WITHIN TOLERANCE")))</f>
        <v/>
      </c>
      <c r="L470" s="5" t="n"/>
      <c r="M470">
        <f>IF(OR($A470="",$L470=""),"",L470-F470)</f>
        <v/>
      </c>
      <c r="N470" s="5" t="n"/>
      <c r="O470" s="5" t="n"/>
    </row>
    <row r="471">
      <c r="A471">
        <f>IF('Blind Count Entry'!A469="","",'Blind Count Entry'!A469)</f>
        <v/>
      </c>
      <c r="B471" s="16">
        <f>IF($A471="","",'Blind Count Entry'!B469)</f>
        <v/>
      </c>
      <c r="C471">
        <f>IF($A471="","",'Blind Count Entry'!C469)</f>
        <v/>
      </c>
      <c r="D471">
        <f>IF($A471="","",'Blind Count Entry'!D469)</f>
        <v/>
      </c>
      <c r="E471">
        <f>IF($A471="","",IFERROR(INDEX('ABC Analysis'!$F:$F,MATCH($C471,'ABC Analysis'!$A:$A,0)),""))</f>
        <v/>
      </c>
      <c r="F471">
        <f>IF($A471="","",IFERROR(INDEX('Master Inventory'!$E:$E,MATCH($C471,'Master Inventory'!$A:$A,0)),0))</f>
        <v/>
      </c>
      <c r="G471">
        <f>IF($A471="","",'Blind Count Entry'!F469)</f>
        <v/>
      </c>
      <c r="H471">
        <f>IF($A471="","",G471-F471)</f>
        <v/>
      </c>
      <c r="I471" s="17">
        <f>IF($A471="","",IF(F471=0,IF(H471=0,0,1),ABS(H471)/F471))</f>
        <v/>
      </c>
      <c r="J471" s="18">
        <f>IF($A471="","",IF($E471="A",$E$1,IF($E471="B",$G$1,$I$1)))</f>
        <v/>
      </c>
      <c r="K471">
        <f>IF($A471="","",IF(H471=0,"MATCH",IF(I471&gt;J471,"RECOUNT","WITHIN TOLERANCE")))</f>
        <v/>
      </c>
      <c r="L471" s="5" t="n"/>
      <c r="M471">
        <f>IF(OR($A471="",$L471=""),"",L471-F471)</f>
        <v/>
      </c>
      <c r="N471" s="5" t="n"/>
      <c r="O471" s="5" t="n"/>
    </row>
    <row r="472">
      <c r="A472">
        <f>IF('Blind Count Entry'!A470="","",'Blind Count Entry'!A470)</f>
        <v/>
      </c>
      <c r="B472" s="16">
        <f>IF($A472="","",'Blind Count Entry'!B470)</f>
        <v/>
      </c>
      <c r="C472">
        <f>IF($A472="","",'Blind Count Entry'!C470)</f>
        <v/>
      </c>
      <c r="D472">
        <f>IF($A472="","",'Blind Count Entry'!D470)</f>
        <v/>
      </c>
      <c r="E472">
        <f>IF($A472="","",IFERROR(INDEX('ABC Analysis'!$F:$F,MATCH($C472,'ABC Analysis'!$A:$A,0)),""))</f>
        <v/>
      </c>
      <c r="F472">
        <f>IF($A472="","",IFERROR(INDEX('Master Inventory'!$E:$E,MATCH($C472,'Master Inventory'!$A:$A,0)),0))</f>
        <v/>
      </c>
      <c r="G472">
        <f>IF($A472="","",'Blind Count Entry'!F470)</f>
        <v/>
      </c>
      <c r="H472">
        <f>IF($A472="","",G472-F472)</f>
        <v/>
      </c>
      <c r="I472" s="17">
        <f>IF($A472="","",IF(F472=0,IF(H472=0,0,1),ABS(H472)/F472))</f>
        <v/>
      </c>
      <c r="J472" s="18">
        <f>IF($A472="","",IF($E472="A",$E$1,IF($E472="B",$G$1,$I$1)))</f>
        <v/>
      </c>
      <c r="K472">
        <f>IF($A472="","",IF(H472=0,"MATCH",IF(I472&gt;J472,"RECOUNT","WITHIN TOLERANCE")))</f>
        <v/>
      </c>
      <c r="L472" s="5" t="n"/>
      <c r="M472">
        <f>IF(OR($A472="",$L472=""),"",L472-F472)</f>
        <v/>
      </c>
      <c r="N472" s="5" t="n"/>
      <c r="O472" s="5" t="n"/>
    </row>
    <row r="473">
      <c r="A473">
        <f>IF('Blind Count Entry'!A471="","",'Blind Count Entry'!A471)</f>
        <v/>
      </c>
      <c r="B473" s="16">
        <f>IF($A473="","",'Blind Count Entry'!B471)</f>
        <v/>
      </c>
      <c r="C473">
        <f>IF($A473="","",'Blind Count Entry'!C471)</f>
        <v/>
      </c>
      <c r="D473">
        <f>IF($A473="","",'Blind Count Entry'!D471)</f>
        <v/>
      </c>
      <c r="E473">
        <f>IF($A473="","",IFERROR(INDEX('ABC Analysis'!$F:$F,MATCH($C473,'ABC Analysis'!$A:$A,0)),""))</f>
        <v/>
      </c>
      <c r="F473">
        <f>IF($A473="","",IFERROR(INDEX('Master Inventory'!$E:$E,MATCH($C473,'Master Inventory'!$A:$A,0)),0))</f>
        <v/>
      </c>
      <c r="G473">
        <f>IF($A473="","",'Blind Count Entry'!F471)</f>
        <v/>
      </c>
      <c r="H473">
        <f>IF($A473="","",G473-F473)</f>
        <v/>
      </c>
      <c r="I473" s="17">
        <f>IF($A473="","",IF(F473=0,IF(H473=0,0,1),ABS(H473)/F473))</f>
        <v/>
      </c>
      <c r="J473" s="18">
        <f>IF($A473="","",IF($E473="A",$E$1,IF($E473="B",$G$1,$I$1)))</f>
        <v/>
      </c>
      <c r="K473">
        <f>IF($A473="","",IF(H473=0,"MATCH",IF(I473&gt;J473,"RECOUNT","WITHIN TOLERANCE")))</f>
        <v/>
      </c>
      <c r="L473" s="5" t="n"/>
      <c r="M473">
        <f>IF(OR($A473="",$L473=""),"",L473-F473)</f>
        <v/>
      </c>
      <c r="N473" s="5" t="n"/>
      <c r="O473" s="5" t="n"/>
    </row>
    <row r="474">
      <c r="A474">
        <f>IF('Blind Count Entry'!A472="","",'Blind Count Entry'!A472)</f>
        <v/>
      </c>
      <c r="B474" s="16">
        <f>IF($A474="","",'Blind Count Entry'!B472)</f>
        <v/>
      </c>
      <c r="C474">
        <f>IF($A474="","",'Blind Count Entry'!C472)</f>
        <v/>
      </c>
      <c r="D474">
        <f>IF($A474="","",'Blind Count Entry'!D472)</f>
        <v/>
      </c>
      <c r="E474">
        <f>IF($A474="","",IFERROR(INDEX('ABC Analysis'!$F:$F,MATCH($C474,'ABC Analysis'!$A:$A,0)),""))</f>
        <v/>
      </c>
      <c r="F474">
        <f>IF($A474="","",IFERROR(INDEX('Master Inventory'!$E:$E,MATCH($C474,'Master Inventory'!$A:$A,0)),0))</f>
        <v/>
      </c>
      <c r="G474">
        <f>IF($A474="","",'Blind Count Entry'!F472)</f>
        <v/>
      </c>
      <c r="H474">
        <f>IF($A474="","",G474-F474)</f>
        <v/>
      </c>
      <c r="I474" s="17">
        <f>IF($A474="","",IF(F474=0,IF(H474=0,0,1),ABS(H474)/F474))</f>
        <v/>
      </c>
      <c r="J474" s="18">
        <f>IF($A474="","",IF($E474="A",$E$1,IF($E474="B",$G$1,$I$1)))</f>
        <v/>
      </c>
      <c r="K474">
        <f>IF($A474="","",IF(H474=0,"MATCH",IF(I474&gt;J474,"RECOUNT","WITHIN TOLERANCE")))</f>
        <v/>
      </c>
      <c r="L474" s="5" t="n"/>
      <c r="M474">
        <f>IF(OR($A474="",$L474=""),"",L474-F474)</f>
        <v/>
      </c>
      <c r="N474" s="5" t="n"/>
      <c r="O474" s="5" t="n"/>
    </row>
    <row r="475">
      <c r="A475">
        <f>IF('Blind Count Entry'!A473="","",'Blind Count Entry'!A473)</f>
        <v/>
      </c>
      <c r="B475" s="16">
        <f>IF($A475="","",'Blind Count Entry'!B473)</f>
        <v/>
      </c>
      <c r="C475">
        <f>IF($A475="","",'Blind Count Entry'!C473)</f>
        <v/>
      </c>
      <c r="D475">
        <f>IF($A475="","",'Blind Count Entry'!D473)</f>
        <v/>
      </c>
      <c r="E475">
        <f>IF($A475="","",IFERROR(INDEX('ABC Analysis'!$F:$F,MATCH($C475,'ABC Analysis'!$A:$A,0)),""))</f>
        <v/>
      </c>
      <c r="F475">
        <f>IF($A475="","",IFERROR(INDEX('Master Inventory'!$E:$E,MATCH($C475,'Master Inventory'!$A:$A,0)),0))</f>
        <v/>
      </c>
      <c r="G475">
        <f>IF($A475="","",'Blind Count Entry'!F473)</f>
        <v/>
      </c>
      <c r="H475">
        <f>IF($A475="","",G475-F475)</f>
        <v/>
      </c>
      <c r="I475" s="17">
        <f>IF($A475="","",IF(F475=0,IF(H475=0,0,1),ABS(H475)/F475))</f>
        <v/>
      </c>
      <c r="J475" s="18">
        <f>IF($A475="","",IF($E475="A",$E$1,IF($E475="B",$G$1,$I$1)))</f>
        <v/>
      </c>
      <c r="K475">
        <f>IF($A475="","",IF(H475=0,"MATCH",IF(I475&gt;J475,"RECOUNT","WITHIN TOLERANCE")))</f>
        <v/>
      </c>
      <c r="L475" s="5" t="n"/>
      <c r="M475">
        <f>IF(OR($A475="",$L475=""),"",L475-F475)</f>
        <v/>
      </c>
      <c r="N475" s="5" t="n"/>
      <c r="O475" s="5" t="n"/>
    </row>
    <row r="476">
      <c r="A476">
        <f>IF('Blind Count Entry'!A474="","",'Blind Count Entry'!A474)</f>
        <v/>
      </c>
      <c r="B476" s="16">
        <f>IF($A476="","",'Blind Count Entry'!B474)</f>
        <v/>
      </c>
      <c r="C476">
        <f>IF($A476="","",'Blind Count Entry'!C474)</f>
        <v/>
      </c>
      <c r="D476">
        <f>IF($A476="","",'Blind Count Entry'!D474)</f>
        <v/>
      </c>
      <c r="E476">
        <f>IF($A476="","",IFERROR(INDEX('ABC Analysis'!$F:$F,MATCH($C476,'ABC Analysis'!$A:$A,0)),""))</f>
        <v/>
      </c>
      <c r="F476">
        <f>IF($A476="","",IFERROR(INDEX('Master Inventory'!$E:$E,MATCH($C476,'Master Inventory'!$A:$A,0)),0))</f>
        <v/>
      </c>
      <c r="G476">
        <f>IF($A476="","",'Blind Count Entry'!F474)</f>
        <v/>
      </c>
      <c r="H476">
        <f>IF($A476="","",G476-F476)</f>
        <v/>
      </c>
      <c r="I476" s="17">
        <f>IF($A476="","",IF(F476=0,IF(H476=0,0,1),ABS(H476)/F476))</f>
        <v/>
      </c>
      <c r="J476" s="18">
        <f>IF($A476="","",IF($E476="A",$E$1,IF($E476="B",$G$1,$I$1)))</f>
        <v/>
      </c>
      <c r="K476">
        <f>IF($A476="","",IF(H476=0,"MATCH",IF(I476&gt;J476,"RECOUNT","WITHIN TOLERANCE")))</f>
        <v/>
      </c>
      <c r="L476" s="5" t="n"/>
      <c r="M476">
        <f>IF(OR($A476="",$L476=""),"",L476-F476)</f>
        <v/>
      </c>
      <c r="N476" s="5" t="n"/>
      <c r="O476" s="5" t="n"/>
    </row>
    <row r="477">
      <c r="A477">
        <f>IF('Blind Count Entry'!A475="","",'Blind Count Entry'!A475)</f>
        <v/>
      </c>
      <c r="B477" s="16">
        <f>IF($A477="","",'Blind Count Entry'!B475)</f>
        <v/>
      </c>
      <c r="C477">
        <f>IF($A477="","",'Blind Count Entry'!C475)</f>
        <v/>
      </c>
      <c r="D477">
        <f>IF($A477="","",'Blind Count Entry'!D475)</f>
        <v/>
      </c>
      <c r="E477">
        <f>IF($A477="","",IFERROR(INDEX('ABC Analysis'!$F:$F,MATCH($C477,'ABC Analysis'!$A:$A,0)),""))</f>
        <v/>
      </c>
      <c r="F477">
        <f>IF($A477="","",IFERROR(INDEX('Master Inventory'!$E:$E,MATCH($C477,'Master Inventory'!$A:$A,0)),0))</f>
        <v/>
      </c>
      <c r="G477">
        <f>IF($A477="","",'Blind Count Entry'!F475)</f>
        <v/>
      </c>
      <c r="H477">
        <f>IF($A477="","",G477-F477)</f>
        <v/>
      </c>
      <c r="I477" s="17">
        <f>IF($A477="","",IF(F477=0,IF(H477=0,0,1),ABS(H477)/F477))</f>
        <v/>
      </c>
      <c r="J477" s="18">
        <f>IF($A477="","",IF($E477="A",$E$1,IF($E477="B",$G$1,$I$1)))</f>
        <v/>
      </c>
      <c r="K477">
        <f>IF($A477="","",IF(H477=0,"MATCH",IF(I477&gt;J477,"RECOUNT","WITHIN TOLERANCE")))</f>
        <v/>
      </c>
      <c r="L477" s="5" t="n"/>
      <c r="M477">
        <f>IF(OR($A477="",$L477=""),"",L477-F477)</f>
        <v/>
      </c>
      <c r="N477" s="5" t="n"/>
      <c r="O477" s="5" t="n"/>
    </row>
    <row r="478">
      <c r="A478">
        <f>IF('Blind Count Entry'!A476="","",'Blind Count Entry'!A476)</f>
        <v/>
      </c>
      <c r="B478" s="16">
        <f>IF($A478="","",'Blind Count Entry'!B476)</f>
        <v/>
      </c>
      <c r="C478">
        <f>IF($A478="","",'Blind Count Entry'!C476)</f>
        <v/>
      </c>
      <c r="D478">
        <f>IF($A478="","",'Blind Count Entry'!D476)</f>
        <v/>
      </c>
      <c r="E478">
        <f>IF($A478="","",IFERROR(INDEX('ABC Analysis'!$F:$F,MATCH($C478,'ABC Analysis'!$A:$A,0)),""))</f>
        <v/>
      </c>
      <c r="F478">
        <f>IF($A478="","",IFERROR(INDEX('Master Inventory'!$E:$E,MATCH($C478,'Master Inventory'!$A:$A,0)),0))</f>
        <v/>
      </c>
      <c r="G478">
        <f>IF($A478="","",'Blind Count Entry'!F476)</f>
        <v/>
      </c>
      <c r="H478">
        <f>IF($A478="","",G478-F478)</f>
        <v/>
      </c>
      <c r="I478" s="17">
        <f>IF($A478="","",IF(F478=0,IF(H478=0,0,1),ABS(H478)/F478))</f>
        <v/>
      </c>
      <c r="J478" s="18">
        <f>IF($A478="","",IF($E478="A",$E$1,IF($E478="B",$G$1,$I$1)))</f>
        <v/>
      </c>
      <c r="K478">
        <f>IF($A478="","",IF(H478=0,"MATCH",IF(I478&gt;J478,"RECOUNT","WITHIN TOLERANCE")))</f>
        <v/>
      </c>
      <c r="L478" s="5" t="n"/>
      <c r="M478">
        <f>IF(OR($A478="",$L478=""),"",L478-F478)</f>
        <v/>
      </c>
      <c r="N478" s="5" t="n"/>
      <c r="O478" s="5" t="n"/>
    </row>
    <row r="479">
      <c r="A479">
        <f>IF('Blind Count Entry'!A477="","",'Blind Count Entry'!A477)</f>
        <v/>
      </c>
      <c r="B479" s="16">
        <f>IF($A479="","",'Blind Count Entry'!B477)</f>
        <v/>
      </c>
      <c r="C479">
        <f>IF($A479="","",'Blind Count Entry'!C477)</f>
        <v/>
      </c>
      <c r="D479">
        <f>IF($A479="","",'Blind Count Entry'!D477)</f>
        <v/>
      </c>
      <c r="E479">
        <f>IF($A479="","",IFERROR(INDEX('ABC Analysis'!$F:$F,MATCH($C479,'ABC Analysis'!$A:$A,0)),""))</f>
        <v/>
      </c>
      <c r="F479">
        <f>IF($A479="","",IFERROR(INDEX('Master Inventory'!$E:$E,MATCH($C479,'Master Inventory'!$A:$A,0)),0))</f>
        <v/>
      </c>
      <c r="G479">
        <f>IF($A479="","",'Blind Count Entry'!F477)</f>
        <v/>
      </c>
      <c r="H479">
        <f>IF($A479="","",G479-F479)</f>
        <v/>
      </c>
      <c r="I479" s="17">
        <f>IF($A479="","",IF(F479=0,IF(H479=0,0,1),ABS(H479)/F479))</f>
        <v/>
      </c>
      <c r="J479" s="18">
        <f>IF($A479="","",IF($E479="A",$E$1,IF($E479="B",$G$1,$I$1)))</f>
        <v/>
      </c>
      <c r="K479">
        <f>IF($A479="","",IF(H479=0,"MATCH",IF(I479&gt;J479,"RECOUNT","WITHIN TOLERANCE")))</f>
        <v/>
      </c>
      <c r="L479" s="5" t="n"/>
      <c r="M479">
        <f>IF(OR($A479="",$L479=""),"",L479-F479)</f>
        <v/>
      </c>
      <c r="N479" s="5" t="n"/>
      <c r="O479" s="5" t="n"/>
    </row>
    <row r="480">
      <c r="A480">
        <f>IF('Blind Count Entry'!A478="","",'Blind Count Entry'!A478)</f>
        <v/>
      </c>
      <c r="B480" s="16">
        <f>IF($A480="","",'Blind Count Entry'!B478)</f>
        <v/>
      </c>
      <c r="C480">
        <f>IF($A480="","",'Blind Count Entry'!C478)</f>
        <v/>
      </c>
      <c r="D480">
        <f>IF($A480="","",'Blind Count Entry'!D478)</f>
        <v/>
      </c>
      <c r="E480">
        <f>IF($A480="","",IFERROR(INDEX('ABC Analysis'!$F:$F,MATCH($C480,'ABC Analysis'!$A:$A,0)),""))</f>
        <v/>
      </c>
      <c r="F480">
        <f>IF($A480="","",IFERROR(INDEX('Master Inventory'!$E:$E,MATCH($C480,'Master Inventory'!$A:$A,0)),0))</f>
        <v/>
      </c>
      <c r="G480">
        <f>IF($A480="","",'Blind Count Entry'!F478)</f>
        <v/>
      </c>
      <c r="H480">
        <f>IF($A480="","",G480-F480)</f>
        <v/>
      </c>
      <c r="I480" s="17">
        <f>IF($A480="","",IF(F480=0,IF(H480=0,0,1),ABS(H480)/F480))</f>
        <v/>
      </c>
      <c r="J480" s="18">
        <f>IF($A480="","",IF($E480="A",$E$1,IF($E480="B",$G$1,$I$1)))</f>
        <v/>
      </c>
      <c r="K480">
        <f>IF($A480="","",IF(H480=0,"MATCH",IF(I480&gt;J480,"RECOUNT","WITHIN TOLERANCE")))</f>
        <v/>
      </c>
      <c r="L480" s="5" t="n"/>
      <c r="M480">
        <f>IF(OR($A480="",$L480=""),"",L480-F480)</f>
        <v/>
      </c>
      <c r="N480" s="5" t="n"/>
      <c r="O480" s="5" t="n"/>
    </row>
    <row r="481">
      <c r="A481">
        <f>IF('Blind Count Entry'!A479="","",'Blind Count Entry'!A479)</f>
        <v/>
      </c>
      <c r="B481" s="16">
        <f>IF($A481="","",'Blind Count Entry'!B479)</f>
        <v/>
      </c>
      <c r="C481">
        <f>IF($A481="","",'Blind Count Entry'!C479)</f>
        <v/>
      </c>
      <c r="D481">
        <f>IF($A481="","",'Blind Count Entry'!D479)</f>
        <v/>
      </c>
      <c r="E481">
        <f>IF($A481="","",IFERROR(INDEX('ABC Analysis'!$F:$F,MATCH($C481,'ABC Analysis'!$A:$A,0)),""))</f>
        <v/>
      </c>
      <c r="F481">
        <f>IF($A481="","",IFERROR(INDEX('Master Inventory'!$E:$E,MATCH($C481,'Master Inventory'!$A:$A,0)),0))</f>
        <v/>
      </c>
      <c r="G481">
        <f>IF($A481="","",'Blind Count Entry'!F479)</f>
        <v/>
      </c>
      <c r="H481">
        <f>IF($A481="","",G481-F481)</f>
        <v/>
      </c>
      <c r="I481" s="17">
        <f>IF($A481="","",IF(F481=0,IF(H481=0,0,1),ABS(H481)/F481))</f>
        <v/>
      </c>
      <c r="J481" s="18">
        <f>IF($A481="","",IF($E481="A",$E$1,IF($E481="B",$G$1,$I$1)))</f>
        <v/>
      </c>
      <c r="K481">
        <f>IF($A481="","",IF(H481=0,"MATCH",IF(I481&gt;J481,"RECOUNT","WITHIN TOLERANCE")))</f>
        <v/>
      </c>
      <c r="L481" s="5" t="n"/>
      <c r="M481">
        <f>IF(OR($A481="",$L481=""),"",L481-F481)</f>
        <v/>
      </c>
      <c r="N481" s="5" t="n"/>
      <c r="O481" s="5" t="n"/>
    </row>
    <row r="482">
      <c r="A482">
        <f>IF('Blind Count Entry'!A480="","",'Blind Count Entry'!A480)</f>
        <v/>
      </c>
      <c r="B482" s="16">
        <f>IF($A482="","",'Blind Count Entry'!B480)</f>
        <v/>
      </c>
      <c r="C482">
        <f>IF($A482="","",'Blind Count Entry'!C480)</f>
        <v/>
      </c>
      <c r="D482">
        <f>IF($A482="","",'Blind Count Entry'!D480)</f>
        <v/>
      </c>
      <c r="E482">
        <f>IF($A482="","",IFERROR(INDEX('ABC Analysis'!$F:$F,MATCH($C482,'ABC Analysis'!$A:$A,0)),""))</f>
        <v/>
      </c>
      <c r="F482">
        <f>IF($A482="","",IFERROR(INDEX('Master Inventory'!$E:$E,MATCH($C482,'Master Inventory'!$A:$A,0)),0))</f>
        <v/>
      </c>
      <c r="G482">
        <f>IF($A482="","",'Blind Count Entry'!F480)</f>
        <v/>
      </c>
      <c r="H482">
        <f>IF($A482="","",G482-F482)</f>
        <v/>
      </c>
      <c r="I482" s="17">
        <f>IF($A482="","",IF(F482=0,IF(H482=0,0,1),ABS(H482)/F482))</f>
        <v/>
      </c>
      <c r="J482" s="18">
        <f>IF($A482="","",IF($E482="A",$E$1,IF($E482="B",$G$1,$I$1)))</f>
        <v/>
      </c>
      <c r="K482">
        <f>IF($A482="","",IF(H482=0,"MATCH",IF(I482&gt;J482,"RECOUNT","WITHIN TOLERANCE")))</f>
        <v/>
      </c>
      <c r="L482" s="5" t="n"/>
      <c r="M482">
        <f>IF(OR($A482="",$L482=""),"",L482-F482)</f>
        <v/>
      </c>
      <c r="N482" s="5" t="n"/>
      <c r="O482" s="5" t="n"/>
    </row>
    <row r="483">
      <c r="A483">
        <f>IF('Blind Count Entry'!A481="","",'Blind Count Entry'!A481)</f>
        <v/>
      </c>
      <c r="B483" s="16">
        <f>IF($A483="","",'Blind Count Entry'!B481)</f>
        <v/>
      </c>
      <c r="C483">
        <f>IF($A483="","",'Blind Count Entry'!C481)</f>
        <v/>
      </c>
      <c r="D483">
        <f>IF($A483="","",'Blind Count Entry'!D481)</f>
        <v/>
      </c>
      <c r="E483">
        <f>IF($A483="","",IFERROR(INDEX('ABC Analysis'!$F:$F,MATCH($C483,'ABC Analysis'!$A:$A,0)),""))</f>
        <v/>
      </c>
      <c r="F483">
        <f>IF($A483="","",IFERROR(INDEX('Master Inventory'!$E:$E,MATCH($C483,'Master Inventory'!$A:$A,0)),0))</f>
        <v/>
      </c>
      <c r="G483">
        <f>IF($A483="","",'Blind Count Entry'!F481)</f>
        <v/>
      </c>
      <c r="H483">
        <f>IF($A483="","",G483-F483)</f>
        <v/>
      </c>
      <c r="I483" s="17">
        <f>IF($A483="","",IF(F483=0,IF(H483=0,0,1),ABS(H483)/F483))</f>
        <v/>
      </c>
      <c r="J483" s="18">
        <f>IF($A483="","",IF($E483="A",$E$1,IF($E483="B",$G$1,$I$1)))</f>
        <v/>
      </c>
      <c r="K483">
        <f>IF($A483="","",IF(H483=0,"MATCH",IF(I483&gt;J483,"RECOUNT","WITHIN TOLERANCE")))</f>
        <v/>
      </c>
      <c r="L483" s="5" t="n"/>
      <c r="M483">
        <f>IF(OR($A483="",$L483=""),"",L483-F483)</f>
        <v/>
      </c>
      <c r="N483" s="5" t="n"/>
      <c r="O483" s="5" t="n"/>
    </row>
    <row r="484">
      <c r="A484">
        <f>IF('Blind Count Entry'!A482="","",'Blind Count Entry'!A482)</f>
        <v/>
      </c>
      <c r="B484" s="16">
        <f>IF($A484="","",'Blind Count Entry'!B482)</f>
        <v/>
      </c>
      <c r="C484">
        <f>IF($A484="","",'Blind Count Entry'!C482)</f>
        <v/>
      </c>
      <c r="D484">
        <f>IF($A484="","",'Blind Count Entry'!D482)</f>
        <v/>
      </c>
      <c r="E484">
        <f>IF($A484="","",IFERROR(INDEX('ABC Analysis'!$F:$F,MATCH($C484,'ABC Analysis'!$A:$A,0)),""))</f>
        <v/>
      </c>
      <c r="F484">
        <f>IF($A484="","",IFERROR(INDEX('Master Inventory'!$E:$E,MATCH($C484,'Master Inventory'!$A:$A,0)),0))</f>
        <v/>
      </c>
      <c r="G484">
        <f>IF($A484="","",'Blind Count Entry'!F482)</f>
        <v/>
      </c>
      <c r="H484">
        <f>IF($A484="","",G484-F484)</f>
        <v/>
      </c>
      <c r="I484" s="17">
        <f>IF($A484="","",IF(F484=0,IF(H484=0,0,1),ABS(H484)/F484))</f>
        <v/>
      </c>
      <c r="J484" s="18">
        <f>IF($A484="","",IF($E484="A",$E$1,IF($E484="B",$G$1,$I$1)))</f>
        <v/>
      </c>
      <c r="K484">
        <f>IF($A484="","",IF(H484=0,"MATCH",IF(I484&gt;J484,"RECOUNT","WITHIN TOLERANCE")))</f>
        <v/>
      </c>
      <c r="L484" s="5" t="n"/>
      <c r="M484">
        <f>IF(OR($A484="",$L484=""),"",L484-F484)</f>
        <v/>
      </c>
      <c r="N484" s="5" t="n"/>
      <c r="O484" s="5" t="n"/>
    </row>
    <row r="485">
      <c r="A485">
        <f>IF('Blind Count Entry'!A483="","",'Blind Count Entry'!A483)</f>
        <v/>
      </c>
      <c r="B485" s="16">
        <f>IF($A485="","",'Blind Count Entry'!B483)</f>
        <v/>
      </c>
      <c r="C485">
        <f>IF($A485="","",'Blind Count Entry'!C483)</f>
        <v/>
      </c>
      <c r="D485">
        <f>IF($A485="","",'Blind Count Entry'!D483)</f>
        <v/>
      </c>
      <c r="E485">
        <f>IF($A485="","",IFERROR(INDEX('ABC Analysis'!$F:$F,MATCH($C485,'ABC Analysis'!$A:$A,0)),""))</f>
        <v/>
      </c>
      <c r="F485">
        <f>IF($A485="","",IFERROR(INDEX('Master Inventory'!$E:$E,MATCH($C485,'Master Inventory'!$A:$A,0)),0))</f>
        <v/>
      </c>
      <c r="G485">
        <f>IF($A485="","",'Blind Count Entry'!F483)</f>
        <v/>
      </c>
      <c r="H485">
        <f>IF($A485="","",G485-F485)</f>
        <v/>
      </c>
      <c r="I485" s="17">
        <f>IF($A485="","",IF(F485=0,IF(H485=0,0,1),ABS(H485)/F485))</f>
        <v/>
      </c>
      <c r="J485" s="18">
        <f>IF($A485="","",IF($E485="A",$E$1,IF($E485="B",$G$1,$I$1)))</f>
        <v/>
      </c>
      <c r="K485">
        <f>IF($A485="","",IF(H485=0,"MATCH",IF(I485&gt;J485,"RECOUNT","WITHIN TOLERANCE")))</f>
        <v/>
      </c>
      <c r="L485" s="5" t="n"/>
      <c r="M485">
        <f>IF(OR($A485="",$L485=""),"",L485-F485)</f>
        <v/>
      </c>
      <c r="N485" s="5" t="n"/>
      <c r="O485" s="5" t="n"/>
    </row>
    <row r="486">
      <c r="A486">
        <f>IF('Blind Count Entry'!A484="","",'Blind Count Entry'!A484)</f>
        <v/>
      </c>
      <c r="B486" s="16">
        <f>IF($A486="","",'Blind Count Entry'!B484)</f>
        <v/>
      </c>
      <c r="C486">
        <f>IF($A486="","",'Blind Count Entry'!C484)</f>
        <v/>
      </c>
      <c r="D486">
        <f>IF($A486="","",'Blind Count Entry'!D484)</f>
        <v/>
      </c>
      <c r="E486">
        <f>IF($A486="","",IFERROR(INDEX('ABC Analysis'!$F:$F,MATCH($C486,'ABC Analysis'!$A:$A,0)),""))</f>
        <v/>
      </c>
      <c r="F486">
        <f>IF($A486="","",IFERROR(INDEX('Master Inventory'!$E:$E,MATCH($C486,'Master Inventory'!$A:$A,0)),0))</f>
        <v/>
      </c>
      <c r="G486">
        <f>IF($A486="","",'Blind Count Entry'!F484)</f>
        <v/>
      </c>
      <c r="H486">
        <f>IF($A486="","",G486-F486)</f>
        <v/>
      </c>
      <c r="I486" s="17">
        <f>IF($A486="","",IF(F486=0,IF(H486=0,0,1),ABS(H486)/F486))</f>
        <v/>
      </c>
      <c r="J486" s="18">
        <f>IF($A486="","",IF($E486="A",$E$1,IF($E486="B",$G$1,$I$1)))</f>
        <v/>
      </c>
      <c r="K486">
        <f>IF($A486="","",IF(H486=0,"MATCH",IF(I486&gt;J486,"RECOUNT","WITHIN TOLERANCE")))</f>
        <v/>
      </c>
      <c r="L486" s="5" t="n"/>
      <c r="M486">
        <f>IF(OR($A486="",$L486=""),"",L486-F486)</f>
        <v/>
      </c>
      <c r="N486" s="5" t="n"/>
      <c r="O486" s="5" t="n"/>
    </row>
    <row r="487">
      <c r="A487">
        <f>IF('Blind Count Entry'!A485="","",'Blind Count Entry'!A485)</f>
        <v/>
      </c>
      <c r="B487" s="16">
        <f>IF($A487="","",'Blind Count Entry'!B485)</f>
        <v/>
      </c>
      <c r="C487">
        <f>IF($A487="","",'Blind Count Entry'!C485)</f>
        <v/>
      </c>
      <c r="D487">
        <f>IF($A487="","",'Blind Count Entry'!D485)</f>
        <v/>
      </c>
      <c r="E487">
        <f>IF($A487="","",IFERROR(INDEX('ABC Analysis'!$F:$F,MATCH($C487,'ABC Analysis'!$A:$A,0)),""))</f>
        <v/>
      </c>
      <c r="F487">
        <f>IF($A487="","",IFERROR(INDEX('Master Inventory'!$E:$E,MATCH($C487,'Master Inventory'!$A:$A,0)),0))</f>
        <v/>
      </c>
      <c r="G487">
        <f>IF($A487="","",'Blind Count Entry'!F485)</f>
        <v/>
      </c>
      <c r="H487">
        <f>IF($A487="","",G487-F487)</f>
        <v/>
      </c>
      <c r="I487" s="17">
        <f>IF($A487="","",IF(F487=0,IF(H487=0,0,1),ABS(H487)/F487))</f>
        <v/>
      </c>
      <c r="J487" s="18">
        <f>IF($A487="","",IF($E487="A",$E$1,IF($E487="B",$G$1,$I$1)))</f>
        <v/>
      </c>
      <c r="K487">
        <f>IF($A487="","",IF(H487=0,"MATCH",IF(I487&gt;J487,"RECOUNT","WITHIN TOLERANCE")))</f>
        <v/>
      </c>
      <c r="L487" s="5" t="n"/>
      <c r="M487">
        <f>IF(OR($A487="",$L487=""),"",L487-F487)</f>
        <v/>
      </c>
      <c r="N487" s="5" t="n"/>
      <c r="O487" s="5" t="n"/>
    </row>
    <row r="488">
      <c r="A488">
        <f>IF('Blind Count Entry'!A486="","",'Blind Count Entry'!A486)</f>
        <v/>
      </c>
      <c r="B488" s="16">
        <f>IF($A488="","",'Blind Count Entry'!B486)</f>
        <v/>
      </c>
      <c r="C488">
        <f>IF($A488="","",'Blind Count Entry'!C486)</f>
        <v/>
      </c>
      <c r="D488">
        <f>IF($A488="","",'Blind Count Entry'!D486)</f>
        <v/>
      </c>
      <c r="E488">
        <f>IF($A488="","",IFERROR(INDEX('ABC Analysis'!$F:$F,MATCH($C488,'ABC Analysis'!$A:$A,0)),""))</f>
        <v/>
      </c>
      <c r="F488">
        <f>IF($A488="","",IFERROR(INDEX('Master Inventory'!$E:$E,MATCH($C488,'Master Inventory'!$A:$A,0)),0))</f>
        <v/>
      </c>
      <c r="G488">
        <f>IF($A488="","",'Blind Count Entry'!F486)</f>
        <v/>
      </c>
      <c r="H488">
        <f>IF($A488="","",G488-F488)</f>
        <v/>
      </c>
      <c r="I488" s="17">
        <f>IF($A488="","",IF(F488=0,IF(H488=0,0,1),ABS(H488)/F488))</f>
        <v/>
      </c>
      <c r="J488" s="18">
        <f>IF($A488="","",IF($E488="A",$E$1,IF($E488="B",$G$1,$I$1)))</f>
        <v/>
      </c>
      <c r="K488">
        <f>IF($A488="","",IF(H488=0,"MATCH",IF(I488&gt;J488,"RECOUNT","WITHIN TOLERANCE")))</f>
        <v/>
      </c>
      <c r="L488" s="5" t="n"/>
      <c r="M488">
        <f>IF(OR($A488="",$L488=""),"",L488-F488)</f>
        <v/>
      </c>
      <c r="N488" s="5" t="n"/>
      <c r="O488" s="5" t="n"/>
    </row>
    <row r="489">
      <c r="A489">
        <f>IF('Blind Count Entry'!A487="","",'Blind Count Entry'!A487)</f>
        <v/>
      </c>
      <c r="B489" s="16">
        <f>IF($A489="","",'Blind Count Entry'!B487)</f>
        <v/>
      </c>
      <c r="C489">
        <f>IF($A489="","",'Blind Count Entry'!C487)</f>
        <v/>
      </c>
      <c r="D489">
        <f>IF($A489="","",'Blind Count Entry'!D487)</f>
        <v/>
      </c>
      <c r="E489">
        <f>IF($A489="","",IFERROR(INDEX('ABC Analysis'!$F:$F,MATCH($C489,'ABC Analysis'!$A:$A,0)),""))</f>
        <v/>
      </c>
      <c r="F489">
        <f>IF($A489="","",IFERROR(INDEX('Master Inventory'!$E:$E,MATCH($C489,'Master Inventory'!$A:$A,0)),0))</f>
        <v/>
      </c>
      <c r="G489">
        <f>IF($A489="","",'Blind Count Entry'!F487)</f>
        <v/>
      </c>
      <c r="H489">
        <f>IF($A489="","",G489-F489)</f>
        <v/>
      </c>
      <c r="I489" s="17">
        <f>IF($A489="","",IF(F489=0,IF(H489=0,0,1),ABS(H489)/F489))</f>
        <v/>
      </c>
      <c r="J489" s="18">
        <f>IF($A489="","",IF($E489="A",$E$1,IF($E489="B",$G$1,$I$1)))</f>
        <v/>
      </c>
      <c r="K489">
        <f>IF($A489="","",IF(H489=0,"MATCH",IF(I489&gt;J489,"RECOUNT","WITHIN TOLERANCE")))</f>
        <v/>
      </c>
      <c r="L489" s="5" t="n"/>
      <c r="M489">
        <f>IF(OR($A489="",$L489=""),"",L489-F489)</f>
        <v/>
      </c>
      <c r="N489" s="5" t="n"/>
      <c r="O489" s="5" t="n"/>
    </row>
    <row r="490">
      <c r="A490">
        <f>IF('Blind Count Entry'!A488="","",'Blind Count Entry'!A488)</f>
        <v/>
      </c>
      <c r="B490" s="16">
        <f>IF($A490="","",'Blind Count Entry'!B488)</f>
        <v/>
      </c>
      <c r="C490">
        <f>IF($A490="","",'Blind Count Entry'!C488)</f>
        <v/>
      </c>
      <c r="D490">
        <f>IF($A490="","",'Blind Count Entry'!D488)</f>
        <v/>
      </c>
      <c r="E490">
        <f>IF($A490="","",IFERROR(INDEX('ABC Analysis'!$F:$F,MATCH($C490,'ABC Analysis'!$A:$A,0)),""))</f>
        <v/>
      </c>
      <c r="F490">
        <f>IF($A490="","",IFERROR(INDEX('Master Inventory'!$E:$E,MATCH($C490,'Master Inventory'!$A:$A,0)),0))</f>
        <v/>
      </c>
      <c r="G490">
        <f>IF($A490="","",'Blind Count Entry'!F488)</f>
        <v/>
      </c>
      <c r="H490">
        <f>IF($A490="","",G490-F490)</f>
        <v/>
      </c>
      <c r="I490" s="17">
        <f>IF($A490="","",IF(F490=0,IF(H490=0,0,1),ABS(H490)/F490))</f>
        <v/>
      </c>
      <c r="J490" s="18">
        <f>IF($A490="","",IF($E490="A",$E$1,IF($E490="B",$G$1,$I$1)))</f>
        <v/>
      </c>
      <c r="K490">
        <f>IF($A490="","",IF(H490=0,"MATCH",IF(I490&gt;J490,"RECOUNT","WITHIN TOLERANCE")))</f>
        <v/>
      </c>
      <c r="L490" s="5" t="n"/>
      <c r="M490">
        <f>IF(OR($A490="",$L490=""),"",L490-F490)</f>
        <v/>
      </c>
      <c r="N490" s="5" t="n"/>
      <c r="O490" s="5" t="n"/>
    </row>
    <row r="491">
      <c r="A491">
        <f>IF('Blind Count Entry'!A489="","",'Blind Count Entry'!A489)</f>
        <v/>
      </c>
      <c r="B491" s="16">
        <f>IF($A491="","",'Blind Count Entry'!B489)</f>
        <v/>
      </c>
      <c r="C491">
        <f>IF($A491="","",'Blind Count Entry'!C489)</f>
        <v/>
      </c>
      <c r="D491">
        <f>IF($A491="","",'Blind Count Entry'!D489)</f>
        <v/>
      </c>
      <c r="E491">
        <f>IF($A491="","",IFERROR(INDEX('ABC Analysis'!$F:$F,MATCH($C491,'ABC Analysis'!$A:$A,0)),""))</f>
        <v/>
      </c>
      <c r="F491">
        <f>IF($A491="","",IFERROR(INDEX('Master Inventory'!$E:$E,MATCH($C491,'Master Inventory'!$A:$A,0)),0))</f>
        <v/>
      </c>
      <c r="G491">
        <f>IF($A491="","",'Blind Count Entry'!F489)</f>
        <v/>
      </c>
      <c r="H491">
        <f>IF($A491="","",G491-F491)</f>
        <v/>
      </c>
      <c r="I491" s="17">
        <f>IF($A491="","",IF(F491=0,IF(H491=0,0,1),ABS(H491)/F491))</f>
        <v/>
      </c>
      <c r="J491" s="18">
        <f>IF($A491="","",IF($E491="A",$E$1,IF($E491="B",$G$1,$I$1)))</f>
        <v/>
      </c>
      <c r="K491">
        <f>IF($A491="","",IF(H491=0,"MATCH",IF(I491&gt;J491,"RECOUNT","WITHIN TOLERANCE")))</f>
        <v/>
      </c>
      <c r="L491" s="5" t="n"/>
      <c r="M491">
        <f>IF(OR($A491="",$L491=""),"",L491-F491)</f>
        <v/>
      </c>
      <c r="N491" s="5" t="n"/>
      <c r="O491" s="5" t="n"/>
    </row>
    <row r="492">
      <c r="A492">
        <f>IF('Blind Count Entry'!A490="","",'Blind Count Entry'!A490)</f>
        <v/>
      </c>
      <c r="B492" s="16">
        <f>IF($A492="","",'Blind Count Entry'!B490)</f>
        <v/>
      </c>
      <c r="C492">
        <f>IF($A492="","",'Blind Count Entry'!C490)</f>
        <v/>
      </c>
      <c r="D492">
        <f>IF($A492="","",'Blind Count Entry'!D490)</f>
        <v/>
      </c>
      <c r="E492">
        <f>IF($A492="","",IFERROR(INDEX('ABC Analysis'!$F:$F,MATCH($C492,'ABC Analysis'!$A:$A,0)),""))</f>
        <v/>
      </c>
      <c r="F492">
        <f>IF($A492="","",IFERROR(INDEX('Master Inventory'!$E:$E,MATCH($C492,'Master Inventory'!$A:$A,0)),0))</f>
        <v/>
      </c>
      <c r="G492">
        <f>IF($A492="","",'Blind Count Entry'!F490)</f>
        <v/>
      </c>
      <c r="H492">
        <f>IF($A492="","",G492-F492)</f>
        <v/>
      </c>
      <c r="I492" s="17">
        <f>IF($A492="","",IF(F492=0,IF(H492=0,0,1),ABS(H492)/F492))</f>
        <v/>
      </c>
      <c r="J492" s="18">
        <f>IF($A492="","",IF($E492="A",$E$1,IF($E492="B",$G$1,$I$1)))</f>
        <v/>
      </c>
      <c r="K492">
        <f>IF($A492="","",IF(H492=0,"MATCH",IF(I492&gt;J492,"RECOUNT","WITHIN TOLERANCE")))</f>
        <v/>
      </c>
      <c r="L492" s="5" t="n"/>
      <c r="M492">
        <f>IF(OR($A492="",$L492=""),"",L492-F492)</f>
        <v/>
      </c>
      <c r="N492" s="5" t="n"/>
      <c r="O492" s="5" t="n"/>
    </row>
    <row r="493">
      <c r="A493">
        <f>IF('Blind Count Entry'!A491="","",'Blind Count Entry'!A491)</f>
        <v/>
      </c>
      <c r="B493" s="16">
        <f>IF($A493="","",'Blind Count Entry'!B491)</f>
        <v/>
      </c>
      <c r="C493">
        <f>IF($A493="","",'Blind Count Entry'!C491)</f>
        <v/>
      </c>
      <c r="D493">
        <f>IF($A493="","",'Blind Count Entry'!D491)</f>
        <v/>
      </c>
      <c r="E493">
        <f>IF($A493="","",IFERROR(INDEX('ABC Analysis'!$F:$F,MATCH($C493,'ABC Analysis'!$A:$A,0)),""))</f>
        <v/>
      </c>
      <c r="F493">
        <f>IF($A493="","",IFERROR(INDEX('Master Inventory'!$E:$E,MATCH($C493,'Master Inventory'!$A:$A,0)),0))</f>
        <v/>
      </c>
      <c r="G493">
        <f>IF($A493="","",'Blind Count Entry'!F491)</f>
        <v/>
      </c>
      <c r="H493">
        <f>IF($A493="","",G493-F493)</f>
        <v/>
      </c>
      <c r="I493" s="17">
        <f>IF($A493="","",IF(F493=0,IF(H493=0,0,1),ABS(H493)/F493))</f>
        <v/>
      </c>
      <c r="J493" s="18">
        <f>IF($A493="","",IF($E493="A",$E$1,IF($E493="B",$G$1,$I$1)))</f>
        <v/>
      </c>
      <c r="K493">
        <f>IF($A493="","",IF(H493=0,"MATCH",IF(I493&gt;J493,"RECOUNT","WITHIN TOLERANCE")))</f>
        <v/>
      </c>
      <c r="L493" s="5" t="n"/>
      <c r="M493">
        <f>IF(OR($A493="",$L493=""),"",L493-F493)</f>
        <v/>
      </c>
      <c r="N493" s="5" t="n"/>
      <c r="O493" s="5" t="n"/>
    </row>
    <row r="494">
      <c r="A494">
        <f>IF('Blind Count Entry'!A492="","",'Blind Count Entry'!A492)</f>
        <v/>
      </c>
      <c r="B494" s="16">
        <f>IF($A494="","",'Blind Count Entry'!B492)</f>
        <v/>
      </c>
      <c r="C494">
        <f>IF($A494="","",'Blind Count Entry'!C492)</f>
        <v/>
      </c>
      <c r="D494">
        <f>IF($A494="","",'Blind Count Entry'!D492)</f>
        <v/>
      </c>
      <c r="E494">
        <f>IF($A494="","",IFERROR(INDEX('ABC Analysis'!$F:$F,MATCH($C494,'ABC Analysis'!$A:$A,0)),""))</f>
        <v/>
      </c>
      <c r="F494">
        <f>IF($A494="","",IFERROR(INDEX('Master Inventory'!$E:$E,MATCH($C494,'Master Inventory'!$A:$A,0)),0))</f>
        <v/>
      </c>
      <c r="G494">
        <f>IF($A494="","",'Blind Count Entry'!F492)</f>
        <v/>
      </c>
      <c r="H494">
        <f>IF($A494="","",G494-F494)</f>
        <v/>
      </c>
      <c r="I494" s="17">
        <f>IF($A494="","",IF(F494=0,IF(H494=0,0,1),ABS(H494)/F494))</f>
        <v/>
      </c>
      <c r="J494" s="18">
        <f>IF($A494="","",IF($E494="A",$E$1,IF($E494="B",$G$1,$I$1)))</f>
        <v/>
      </c>
      <c r="K494">
        <f>IF($A494="","",IF(H494=0,"MATCH",IF(I494&gt;J494,"RECOUNT","WITHIN TOLERANCE")))</f>
        <v/>
      </c>
      <c r="L494" s="5" t="n"/>
      <c r="M494">
        <f>IF(OR($A494="",$L494=""),"",L494-F494)</f>
        <v/>
      </c>
      <c r="N494" s="5" t="n"/>
      <c r="O494" s="5" t="n"/>
    </row>
    <row r="495">
      <c r="A495">
        <f>IF('Blind Count Entry'!A493="","",'Blind Count Entry'!A493)</f>
        <v/>
      </c>
      <c r="B495" s="16">
        <f>IF($A495="","",'Blind Count Entry'!B493)</f>
        <v/>
      </c>
      <c r="C495">
        <f>IF($A495="","",'Blind Count Entry'!C493)</f>
        <v/>
      </c>
      <c r="D495">
        <f>IF($A495="","",'Blind Count Entry'!D493)</f>
        <v/>
      </c>
      <c r="E495">
        <f>IF($A495="","",IFERROR(INDEX('ABC Analysis'!$F:$F,MATCH($C495,'ABC Analysis'!$A:$A,0)),""))</f>
        <v/>
      </c>
      <c r="F495">
        <f>IF($A495="","",IFERROR(INDEX('Master Inventory'!$E:$E,MATCH($C495,'Master Inventory'!$A:$A,0)),0))</f>
        <v/>
      </c>
      <c r="G495">
        <f>IF($A495="","",'Blind Count Entry'!F493)</f>
        <v/>
      </c>
      <c r="H495">
        <f>IF($A495="","",G495-F495)</f>
        <v/>
      </c>
      <c r="I495" s="17">
        <f>IF($A495="","",IF(F495=0,IF(H495=0,0,1),ABS(H495)/F495))</f>
        <v/>
      </c>
      <c r="J495" s="18">
        <f>IF($A495="","",IF($E495="A",$E$1,IF($E495="B",$G$1,$I$1)))</f>
        <v/>
      </c>
      <c r="K495">
        <f>IF($A495="","",IF(H495=0,"MATCH",IF(I495&gt;J495,"RECOUNT","WITHIN TOLERANCE")))</f>
        <v/>
      </c>
      <c r="L495" s="5" t="n"/>
      <c r="M495">
        <f>IF(OR($A495="",$L495=""),"",L495-F495)</f>
        <v/>
      </c>
      <c r="N495" s="5" t="n"/>
      <c r="O495" s="5" t="n"/>
    </row>
    <row r="496">
      <c r="A496">
        <f>IF('Blind Count Entry'!A494="","",'Blind Count Entry'!A494)</f>
        <v/>
      </c>
      <c r="B496" s="16">
        <f>IF($A496="","",'Blind Count Entry'!B494)</f>
        <v/>
      </c>
      <c r="C496">
        <f>IF($A496="","",'Blind Count Entry'!C494)</f>
        <v/>
      </c>
      <c r="D496">
        <f>IF($A496="","",'Blind Count Entry'!D494)</f>
        <v/>
      </c>
      <c r="E496">
        <f>IF($A496="","",IFERROR(INDEX('ABC Analysis'!$F:$F,MATCH($C496,'ABC Analysis'!$A:$A,0)),""))</f>
        <v/>
      </c>
      <c r="F496">
        <f>IF($A496="","",IFERROR(INDEX('Master Inventory'!$E:$E,MATCH($C496,'Master Inventory'!$A:$A,0)),0))</f>
        <v/>
      </c>
      <c r="G496">
        <f>IF($A496="","",'Blind Count Entry'!F494)</f>
        <v/>
      </c>
      <c r="H496">
        <f>IF($A496="","",G496-F496)</f>
        <v/>
      </c>
      <c r="I496" s="17">
        <f>IF($A496="","",IF(F496=0,IF(H496=0,0,1),ABS(H496)/F496))</f>
        <v/>
      </c>
      <c r="J496" s="18">
        <f>IF($A496="","",IF($E496="A",$E$1,IF($E496="B",$G$1,$I$1)))</f>
        <v/>
      </c>
      <c r="K496">
        <f>IF($A496="","",IF(H496=0,"MATCH",IF(I496&gt;J496,"RECOUNT","WITHIN TOLERANCE")))</f>
        <v/>
      </c>
      <c r="L496" s="5" t="n"/>
      <c r="M496">
        <f>IF(OR($A496="",$L496=""),"",L496-F496)</f>
        <v/>
      </c>
      <c r="N496" s="5" t="n"/>
      <c r="O496" s="5" t="n"/>
    </row>
    <row r="497">
      <c r="A497">
        <f>IF('Blind Count Entry'!A495="","",'Blind Count Entry'!A495)</f>
        <v/>
      </c>
      <c r="B497" s="16">
        <f>IF($A497="","",'Blind Count Entry'!B495)</f>
        <v/>
      </c>
      <c r="C497">
        <f>IF($A497="","",'Blind Count Entry'!C495)</f>
        <v/>
      </c>
      <c r="D497">
        <f>IF($A497="","",'Blind Count Entry'!D495)</f>
        <v/>
      </c>
      <c r="E497">
        <f>IF($A497="","",IFERROR(INDEX('ABC Analysis'!$F:$F,MATCH($C497,'ABC Analysis'!$A:$A,0)),""))</f>
        <v/>
      </c>
      <c r="F497">
        <f>IF($A497="","",IFERROR(INDEX('Master Inventory'!$E:$E,MATCH($C497,'Master Inventory'!$A:$A,0)),0))</f>
        <v/>
      </c>
      <c r="G497">
        <f>IF($A497="","",'Blind Count Entry'!F495)</f>
        <v/>
      </c>
      <c r="H497">
        <f>IF($A497="","",G497-F497)</f>
        <v/>
      </c>
      <c r="I497" s="17">
        <f>IF($A497="","",IF(F497=0,IF(H497=0,0,1),ABS(H497)/F497))</f>
        <v/>
      </c>
      <c r="J497" s="18">
        <f>IF($A497="","",IF($E497="A",$E$1,IF($E497="B",$G$1,$I$1)))</f>
        <v/>
      </c>
      <c r="K497">
        <f>IF($A497="","",IF(H497=0,"MATCH",IF(I497&gt;J497,"RECOUNT","WITHIN TOLERANCE")))</f>
        <v/>
      </c>
      <c r="L497" s="5" t="n"/>
      <c r="M497">
        <f>IF(OR($A497="",$L497=""),"",L497-F497)</f>
        <v/>
      </c>
      <c r="N497" s="5" t="n"/>
      <c r="O497" s="5" t="n"/>
    </row>
    <row r="498">
      <c r="A498">
        <f>IF('Blind Count Entry'!A496="","",'Blind Count Entry'!A496)</f>
        <v/>
      </c>
      <c r="B498" s="16">
        <f>IF($A498="","",'Blind Count Entry'!B496)</f>
        <v/>
      </c>
      <c r="C498">
        <f>IF($A498="","",'Blind Count Entry'!C496)</f>
        <v/>
      </c>
      <c r="D498">
        <f>IF($A498="","",'Blind Count Entry'!D496)</f>
        <v/>
      </c>
      <c r="E498">
        <f>IF($A498="","",IFERROR(INDEX('ABC Analysis'!$F:$F,MATCH($C498,'ABC Analysis'!$A:$A,0)),""))</f>
        <v/>
      </c>
      <c r="F498">
        <f>IF($A498="","",IFERROR(INDEX('Master Inventory'!$E:$E,MATCH($C498,'Master Inventory'!$A:$A,0)),0))</f>
        <v/>
      </c>
      <c r="G498">
        <f>IF($A498="","",'Blind Count Entry'!F496)</f>
        <v/>
      </c>
      <c r="H498">
        <f>IF($A498="","",G498-F498)</f>
        <v/>
      </c>
      <c r="I498" s="17">
        <f>IF($A498="","",IF(F498=0,IF(H498=0,0,1),ABS(H498)/F498))</f>
        <v/>
      </c>
      <c r="J498" s="18">
        <f>IF($A498="","",IF($E498="A",$E$1,IF($E498="B",$G$1,$I$1)))</f>
        <v/>
      </c>
      <c r="K498">
        <f>IF($A498="","",IF(H498=0,"MATCH",IF(I498&gt;J498,"RECOUNT","WITHIN TOLERANCE")))</f>
        <v/>
      </c>
      <c r="L498" s="5" t="n"/>
      <c r="M498">
        <f>IF(OR($A498="",$L498=""),"",L498-F498)</f>
        <v/>
      </c>
      <c r="N498" s="5" t="n"/>
      <c r="O498" s="5" t="n"/>
    </row>
    <row r="499">
      <c r="A499">
        <f>IF('Blind Count Entry'!A497="","",'Blind Count Entry'!A497)</f>
        <v/>
      </c>
      <c r="B499" s="16">
        <f>IF($A499="","",'Blind Count Entry'!B497)</f>
        <v/>
      </c>
      <c r="C499">
        <f>IF($A499="","",'Blind Count Entry'!C497)</f>
        <v/>
      </c>
      <c r="D499">
        <f>IF($A499="","",'Blind Count Entry'!D497)</f>
        <v/>
      </c>
      <c r="E499">
        <f>IF($A499="","",IFERROR(INDEX('ABC Analysis'!$F:$F,MATCH($C499,'ABC Analysis'!$A:$A,0)),""))</f>
        <v/>
      </c>
      <c r="F499">
        <f>IF($A499="","",IFERROR(INDEX('Master Inventory'!$E:$E,MATCH($C499,'Master Inventory'!$A:$A,0)),0))</f>
        <v/>
      </c>
      <c r="G499">
        <f>IF($A499="","",'Blind Count Entry'!F497)</f>
        <v/>
      </c>
      <c r="H499">
        <f>IF($A499="","",G499-F499)</f>
        <v/>
      </c>
      <c r="I499" s="17">
        <f>IF($A499="","",IF(F499=0,IF(H499=0,0,1),ABS(H499)/F499))</f>
        <v/>
      </c>
      <c r="J499" s="18">
        <f>IF($A499="","",IF($E499="A",$E$1,IF($E499="B",$G$1,$I$1)))</f>
        <v/>
      </c>
      <c r="K499">
        <f>IF($A499="","",IF(H499=0,"MATCH",IF(I499&gt;J499,"RECOUNT","WITHIN TOLERANCE")))</f>
        <v/>
      </c>
      <c r="L499" s="5" t="n"/>
      <c r="M499">
        <f>IF(OR($A499="",$L499=""),"",L499-F499)</f>
        <v/>
      </c>
      <c r="N499" s="5" t="n"/>
      <c r="O499" s="5" t="n"/>
    </row>
    <row r="500">
      <c r="A500">
        <f>IF('Blind Count Entry'!A498="","",'Blind Count Entry'!A498)</f>
        <v/>
      </c>
      <c r="B500" s="16">
        <f>IF($A500="","",'Blind Count Entry'!B498)</f>
        <v/>
      </c>
      <c r="C500">
        <f>IF($A500="","",'Blind Count Entry'!C498)</f>
        <v/>
      </c>
      <c r="D500">
        <f>IF($A500="","",'Blind Count Entry'!D498)</f>
        <v/>
      </c>
      <c r="E500">
        <f>IF($A500="","",IFERROR(INDEX('ABC Analysis'!$F:$F,MATCH($C500,'ABC Analysis'!$A:$A,0)),""))</f>
        <v/>
      </c>
      <c r="F500">
        <f>IF($A500="","",IFERROR(INDEX('Master Inventory'!$E:$E,MATCH($C500,'Master Inventory'!$A:$A,0)),0))</f>
        <v/>
      </c>
      <c r="G500">
        <f>IF($A500="","",'Blind Count Entry'!F498)</f>
        <v/>
      </c>
      <c r="H500">
        <f>IF($A500="","",G500-F500)</f>
        <v/>
      </c>
      <c r="I500" s="17">
        <f>IF($A500="","",IF(F500=0,IF(H500=0,0,1),ABS(H500)/F500))</f>
        <v/>
      </c>
      <c r="J500" s="18">
        <f>IF($A500="","",IF($E500="A",$E$1,IF($E500="B",$G$1,$I$1)))</f>
        <v/>
      </c>
      <c r="K500">
        <f>IF($A500="","",IF(H500=0,"MATCH",IF(I500&gt;J500,"RECOUNT","WITHIN TOLERANCE")))</f>
        <v/>
      </c>
      <c r="L500" s="5" t="n"/>
      <c r="M500">
        <f>IF(OR($A500="",$L500=""),"",L500-F500)</f>
        <v/>
      </c>
      <c r="N500" s="5" t="n"/>
      <c r="O500" s="5" t="n"/>
    </row>
    <row r="501">
      <c r="A501">
        <f>IF('Blind Count Entry'!A499="","",'Blind Count Entry'!A499)</f>
        <v/>
      </c>
      <c r="B501" s="16">
        <f>IF($A501="","",'Blind Count Entry'!B499)</f>
        <v/>
      </c>
      <c r="C501">
        <f>IF($A501="","",'Blind Count Entry'!C499)</f>
        <v/>
      </c>
      <c r="D501">
        <f>IF($A501="","",'Blind Count Entry'!D499)</f>
        <v/>
      </c>
      <c r="E501">
        <f>IF($A501="","",IFERROR(INDEX('ABC Analysis'!$F:$F,MATCH($C501,'ABC Analysis'!$A:$A,0)),""))</f>
        <v/>
      </c>
      <c r="F501">
        <f>IF($A501="","",IFERROR(INDEX('Master Inventory'!$E:$E,MATCH($C501,'Master Inventory'!$A:$A,0)),0))</f>
        <v/>
      </c>
      <c r="G501">
        <f>IF($A501="","",'Blind Count Entry'!F499)</f>
        <v/>
      </c>
      <c r="H501">
        <f>IF($A501="","",G501-F501)</f>
        <v/>
      </c>
      <c r="I501" s="17">
        <f>IF($A501="","",IF(F501=0,IF(H501=0,0,1),ABS(H501)/F501))</f>
        <v/>
      </c>
      <c r="J501" s="18">
        <f>IF($A501="","",IF($E501="A",$E$1,IF($E501="B",$G$1,$I$1)))</f>
        <v/>
      </c>
      <c r="K501">
        <f>IF($A501="","",IF(H501=0,"MATCH",IF(I501&gt;J501,"RECOUNT","WITHIN TOLERANCE")))</f>
        <v/>
      </c>
      <c r="L501" s="5" t="n"/>
      <c r="M501">
        <f>IF(OR($A501="",$L501=""),"",L501-F501)</f>
        <v/>
      </c>
      <c r="N501" s="5" t="n"/>
      <c r="O501" s="5" t="n"/>
    </row>
    <row r="502">
      <c r="A502">
        <f>IF('Blind Count Entry'!A500="","",'Blind Count Entry'!A500)</f>
        <v/>
      </c>
      <c r="B502" s="16">
        <f>IF($A502="","",'Blind Count Entry'!B500)</f>
        <v/>
      </c>
      <c r="C502">
        <f>IF($A502="","",'Blind Count Entry'!C500)</f>
        <v/>
      </c>
      <c r="D502">
        <f>IF($A502="","",'Blind Count Entry'!D500)</f>
        <v/>
      </c>
      <c r="E502">
        <f>IF($A502="","",IFERROR(INDEX('ABC Analysis'!$F:$F,MATCH($C502,'ABC Analysis'!$A:$A,0)),""))</f>
        <v/>
      </c>
      <c r="F502">
        <f>IF($A502="","",IFERROR(INDEX('Master Inventory'!$E:$E,MATCH($C502,'Master Inventory'!$A:$A,0)),0))</f>
        <v/>
      </c>
      <c r="G502">
        <f>IF($A502="","",'Blind Count Entry'!F500)</f>
        <v/>
      </c>
      <c r="H502">
        <f>IF($A502="","",G502-F502)</f>
        <v/>
      </c>
      <c r="I502" s="17">
        <f>IF($A502="","",IF(F502=0,IF(H502=0,0,1),ABS(H502)/F502))</f>
        <v/>
      </c>
      <c r="J502" s="18">
        <f>IF($A502="","",IF($E502="A",$E$1,IF($E502="B",$G$1,$I$1)))</f>
        <v/>
      </c>
      <c r="K502">
        <f>IF($A502="","",IF(H502=0,"MATCH",IF(I502&gt;J502,"RECOUNT","WITHIN TOLERANCE")))</f>
        <v/>
      </c>
      <c r="L502" s="5" t="n"/>
      <c r="M502">
        <f>IF(OR($A502="",$L502=""),"",L502-F502)</f>
        <v/>
      </c>
      <c r="N502" s="5" t="n"/>
      <c r="O502" s="5" t="n"/>
    </row>
    <row r="503">
      <c r="A503">
        <f>IF('Blind Count Entry'!A501="","",'Blind Count Entry'!A501)</f>
        <v/>
      </c>
      <c r="B503" s="16">
        <f>IF($A503="","",'Blind Count Entry'!B501)</f>
        <v/>
      </c>
      <c r="C503">
        <f>IF($A503="","",'Blind Count Entry'!C501)</f>
        <v/>
      </c>
      <c r="D503">
        <f>IF($A503="","",'Blind Count Entry'!D501)</f>
        <v/>
      </c>
      <c r="E503">
        <f>IF($A503="","",IFERROR(INDEX('ABC Analysis'!$F:$F,MATCH($C503,'ABC Analysis'!$A:$A,0)),""))</f>
        <v/>
      </c>
      <c r="F503">
        <f>IF($A503="","",IFERROR(INDEX('Master Inventory'!$E:$E,MATCH($C503,'Master Inventory'!$A:$A,0)),0))</f>
        <v/>
      </c>
      <c r="G503">
        <f>IF($A503="","",'Blind Count Entry'!F501)</f>
        <v/>
      </c>
      <c r="H503">
        <f>IF($A503="","",G503-F503)</f>
        <v/>
      </c>
      <c r="I503" s="17">
        <f>IF($A503="","",IF(F503=0,IF(H503=0,0,1),ABS(H503)/F503))</f>
        <v/>
      </c>
      <c r="J503" s="18">
        <f>IF($A503="","",IF($E503="A",$E$1,IF($E503="B",$G$1,$I$1)))</f>
        <v/>
      </c>
      <c r="K503">
        <f>IF($A503="","",IF(H503=0,"MATCH",IF(I503&gt;J503,"RECOUNT","WITHIN TOLERANCE")))</f>
        <v/>
      </c>
      <c r="L503" s="5" t="n"/>
      <c r="M503">
        <f>IF(OR($A503="",$L503=""),"",L503-F503)</f>
        <v/>
      </c>
      <c r="N503" s="5" t="n"/>
      <c r="O503" s="5" t="n"/>
    </row>
    <row r="504">
      <c r="A504">
        <f>IF('Blind Count Entry'!A502="","",'Blind Count Entry'!A502)</f>
        <v/>
      </c>
      <c r="B504" s="16">
        <f>IF($A504="","",'Blind Count Entry'!B502)</f>
        <v/>
      </c>
      <c r="C504">
        <f>IF($A504="","",'Blind Count Entry'!C502)</f>
        <v/>
      </c>
      <c r="D504">
        <f>IF($A504="","",'Blind Count Entry'!D502)</f>
        <v/>
      </c>
      <c r="E504">
        <f>IF($A504="","",IFERROR(INDEX('ABC Analysis'!$F:$F,MATCH($C504,'ABC Analysis'!$A:$A,0)),""))</f>
        <v/>
      </c>
      <c r="F504">
        <f>IF($A504="","",IFERROR(INDEX('Master Inventory'!$E:$E,MATCH($C504,'Master Inventory'!$A:$A,0)),0))</f>
        <v/>
      </c>
      <c r="G504">
        <f>IF($A504="","",'Blind Count Entry'!F502)</f>
        <v/>
      </c>
      <c r="H504">
        <f>IF($A504="","",G504-F504)</f>
        <v/>
      </c>
      <c r="I504" s="17">
        <f>IF($A504="","",IF(F504=0,IF(H504=0,0,1),ABS(H504)/F504))</f>
        <v/>
      </c>
      <c r="J504" s="18">
        <f>IF($A504="","",IF($E504="A",$E$1,IF($E504="B",$G$1,$I$1)))</f>
        <v/>
      </c>
      <c r="K504">
        <f>IF($A504="","",IF(H504=0,"MATCH",IF(I504&gt;J504,"RECOUNT","WITHIN TOLERANCE")))</f>
        <v/>
      </c>
      <c r="L504" s="5" t="n"/>
      <c r="M504">
        <f>IF(OR($A504="",$L504=""),"",L504-F504)</f>
        <v/>
      </c>
      <c r="N504" s="5" t="n"/>
      <c r="O504" s="5" t="n"/>
    </row>
    <row r="505">
      <c r="A505">
        <f>IF('Blind Count Entry'!A503="","",'Blind Count Entry'!A503)</f>
        <v/>
      </c>
      <c r="B505" s="16">
        <f>IF($A505="","",'Blind Count Entry'!B503)</f>
        <v/>
      </c>
      <c r="C505">
        <f>IF($A505="","",'Blind Count Entry'!C503)</f>
        <v/>
      </c>
      <c r="D505">
        <f>IF($A505="","",'Blind Count Entry'!D503)</f>
        <v/>
      </c>
      <c r="E505">
        <f>IF($A505="","",IFERROR(INDEX('ABC Analysis'!$F:$F,MATCH($C505,'ABC Analysis'!$A:$A,0)),""))</f>
        <v/>
      </c>
      <c r="F505">
        <f>IF($A505="","",IFERROR(INDEX('Master Inventory'!$E:$E,MATCH($C505,'Master Inventory'!$A:$A,0)),0))</f>
        <v/>
      </c>
      <c r="G505">
        <f>IF($A505="","",'Blind Count Entry'!F503)</f>
        <v/>
      </c>
      <c r="H505">
        <f>IF($A505="","",G505-F505)</f>
        <v/>
      </c>
      <c r="I505" s="17">
        <f>IF($A505="","",IF(F505=0,IF(H505=0,0,1),ABS(H505)/F505))</f>
        <v/>
      </c>
      <c r="J505" s="18">
        <f>IF($A505="","",IF($E505="A",$E$1,IF($E505="B",$G$1,$I$1)))</f>
        <v/>
      </c>
      <c r="K505">
        <f>IF($A505="","",IF(H505=0,"MATCH",IF(I505&gt;J505,"RECOUNT","WITHIN TOLERANCE")))</f>
        <v/>
      </c>
      <c r="L505" s="5" t="n"/>
      <c r="M505">
        <f>IF(OR($A505="",$L505=""),"",L505-F505)</f>
        <v/>
      </c>
      <c r="N505" s="5" t="n"/>
      <c r="O505" s="5" t="n"/>
    </row>
    <row r="506">
      <c r="A506">
        <f>IF('Blind Count Entry'!A504="","",'Blind Count Entry'!A504)</f>
        <v/>
      </c>
      <c r="B506" s="16">
        <f>IF($A506="","",'Blind Count Entry'!B504)</f>
        <v/>
      </c>
      <c r="C506">
        <f>IF($A506="","",'Blind Count Entry'!C504)</f>
        <v/>
      </c>
      <c r="D506">
        <f>IF($A506="","",'Blind Count Entry'!D504)</f>
        <v/>
      </c>
      <c r="E506">
        <f>IF($A506="","",IFERROR(INDEX('ABC Analysis'!$F:$F,MATCH($C506,'ABC Analysis'!$A:$A,0)),""))</f>
        <v/>
      </c>
      <c r="F506">
        <f>IF($A506="","",IFERROR(INDEX('Master Inventory'!$E:$E,MATCH($C506,'Master Inventory'!$A:$A,0)),0))</f>
        <v/>
      </c>
      <c r="G506">
        <f>IF($A506="","",'Blind Count Entry'!F504)</f>
        <v/>
      </c>
      <c r="H506">
        <f>IF($A506="","",G506-F506)</f>
        <v/>
      </c>
      <c r="I506" s="17">
        <f>IF($A506="","",IF(F506=0,IF(H506=0,0,1),ABS(H506)/F506))</f>
        <v/>
      </c>
      <c r="J506" s="18">
        <f>IF($A506="","",IF($E506="A",$E$1,IF($E506="B",$G$1,$I$1)))</f>
        <v/>
      </c>
      <c r="K506">
        <f>IF($A506="","",IF(H506=0,"MATCH",IF(I506&gt;J506,"RECOUNT","WITHIN TOLERANCE")))</f>
        <v/>
      </c>
      <c r="L506" s="5" t="n"/>
      <c r="M506">
        <f>IF(OR($A506="",$L506=""),"",L506-F506)</f>
        <v/>
      </c>
      <c r="N506" s="5" t="n"/>
      <c r="O506" s="5" t="n"/>
    </row>
    <row r="507">
      <c r="A507">
        <f>IF('Blind Count Entry'!A505="","",'Blind Count Entry'!A505)</f>
        <v/>
      </c>
      <c r="B507" s="16">
        <f>IF($A507="","",'Blind Count Entry'!B505)</f>
        <v/>
      </c>
      <c r="C507">
        <f>IF($A507="","",'Blind Count Entry'!C505)</f>
        <v/>
      </c>
      <c r="D507">
        <f>IF($A507="","",'Blind Count Entry'!D505)</f>
        <v/>
      </c>
      <c r="E507">
        <f>IF($A507="","",IFERROR(INDEX('ABC Analysis'!$F:$F,MATCH($C507,'ABC Analysis'!$A:$A,0)),""))</f>
        <v/>
      </c>
      <c r="F507">
        <f>IF($A507="","",IFERROR(INDEX('Master Inventory'!$E:$E,MATCH($C507,'Master Inventory'!$A:$A,0)),0))</f>
        <v/>
      </c>
      <c r="G507">
        <f>IF($A507="","",'Blind Count Entry'!F505)</f>
        <v/>
      </c>
      <c r="H507">
        <f>IF($A507="","",G507-F507)</f>
        <v/>
      </c>
      <c r="I507" s="17">
        <f>IF($A507="","",IF(F507=0,IF(H507=0,0,1),ABS(H507)/F507))</f>
        <v/>
      </c>
      <c r="J507" s="18">
        <f>IF($A507="","",IF($E507="A",$E$1,IF($E507="B",$G$1,$I$1)))</f>
        <v/>
      </c>
      <c r="K507">
        <f>IF($A507="","",IF(H507=0,"MATCH",IF(I507&gt;J507,"RECOUNT","WITHIN TOLERANCE")))</f>
        <v/>
      </c>
      <c r="L507" s="5" t="n"/>
      <c r="M507">
        <f>IF(OR($A507="",$L507=""),"",L507-F507)</f>
        <v/>
      </c>
      <c r="N507" s="5" t="n"/>
      <c r="O507" s="5" t="n"/>
    </row>
    <row r="508">
      <c r="A508">
        <f>IF('Blind Count Entry'!A506="","",'Blind Count Entry'!A506)</f>
        <v/>
      </c>
      <c r="B508" s="16">
        <f>IF($A508="","",'Blind Count Entry'!B506)</f>
        <v/>
      </c>
      <c r="C508">
        <f>IF($A508="","",'Blind Count Entry'!C506)</f>
        <v/>
      </c>
      <c r="D508">
        <f>IF($A508="","",'Blind Count Entry'!D506)</f>
        <v/>
      </c>
      <c r="E508">
        <f>IF($A508="","",IFERROR(INDEX('ABC Analysis'!$F:$F,MATCH($C508,'ABC Analysis'!$A:$A,0)),""))</f>
        <v/>
      </c>
      <c r="F508">
        <f>IF($A508="","",IFERROR(INDEX('Master Inventory'!$E:$E,MATCH($C508,'Master Inventory'!$A:$A,0)),0))</f>
        <v/>
      </c>
      <c r="G508">
        <f>IF($A508="","",'Blind Count Entry'!F506)</f>
        <v/>
      </c>
      <c r="H508">
        <f>IF($A508="","",G508-F508)</f>
        <v/>
      </c>
      <c r="I508" s="17">
        <f>IF($A508="","",IF(F508=0,IF(H508=0,0,1),ABS(H508)/F508))</f>
        <v/>
      </c>
      <c r="J508" s="18">
        <f>IF($A508="","",IF($E508="A",$E$1,IF($E508="B",$G$1,$I$1)))</f>
        <v/>
      </c>
      <c r="K508">
        <f>IF($A508="","",IF(H508=0,"MATCH",IF(I508&gt;J508,"RECOUNT","WITHIN TOLERANCE")))</f>
        <v/>
      </c>
      <c r="L508" s="5" t="n"/>
      <c r="M508">
        <f>IF(OR($A508="",$L508=""),"",L508-F508)</f>
        <v/>
      </c>
      <c r="N508" s="5" t="n"/>
      <c r="O508" s="5" t="n"/>
    </row>
    <row r="509">
      <c r="A509">
        <f>IF('Blind Count Entry'!A507="","",'Blind Count Entry'!A507)</f>
        <v/>
      </c>
      <c r="B509" s="16">
        <f>IF($A509="","",'Blind Count Entry'!B507)</f>
        <v/>
      </c>
      <c r="C509">
        <f>IF($A509="","",'Blind Count Entry'!C507)</f>
        <v/>
      </c>
      <c r="D509">
        <f>IF($A509="","",'Blind Count Entry'!D507)</f>
        <v/>
      </c>
      <c r="E509">
        <f>IF($A509="","",IFERROR(INDEX('ABC Analysis'!$F:$F,MATCH($C509,'ABC Analysis'!$A:$A,0)),""))</f>
        <v/>
      </c>
      <c r="F509">
        <f>IF($A509="","",IFERROR(INDEX('Master Inventory'!$E:$E,MATCH($C509,'Master Inventory'!$A:$A,0)),0))</f>
        <v/>
      </c>
      <c r="G509">
        <f>IF($A509="","",'Blind Count Entry'!F507)</f>
        <v/>
      </c>
      <c r="H509">
        <f>IF($A509="","",G509-F509)</f>
        <v/>
      </c>
      <c r="I509" s="17">
        <f>IF($A509="","",IF(F509=0,IF(H509=0,0,1),ABS(H509)/F509))</f>
        <v/>
      </c>
      <c r="J509" s="18">
        <f>IF($A509="","",IF($E509="A",$E$1,IF($E509="B",$G$1,$I$1)))</f>
        <v/>
      </c>
      <c r="K509">
        <f>IF($A509="","",IF(H509=0,"MATCH",IF(I509&gt;J509,"RECOUNT","WITHIN TOLERANCE")))</f>
        <v/>
      </c>
      <c r="L509" s="5" t="n"/>
      <c r="M509">
        <f>IF(OR($A509="",$L509=""),"",L509-F509)</f>
        <v/>
      </c>
      <c r="N509" s="5" t="n"/>
      <c r="O509" s="5" t="n"/>
    </row>
    <row r="510">
      <c r="A510">
        <f>IF('Blind Count Entry'!A508="","",'Blind Count Entry'!A508)</f>
        <v/>
      </c>
      <c r="B510" s="16">
        <f>IF($A510="","",'Blind Count Entry'!B508)</f>
        <v/>
      </c>
      <c r="C510">
        <f>IF($A510="","",'Blind Count Entry'!C508)</f>
        <v/>
      </c>
      <c r="D510">
        <f>IF($A510="","",'Blind Count Entry'!D508)</f>
        <v/>
      </c>
      <c r="E510">
        <f>IF($A510="","",IFERROR(INDEX('ABC Analysis'!$F:$F,MATCH($C510,'ABC Analysis'!$A:$A,0)),""))</f>
        <v/>
      </c>
      <c r="F510">
        <f>IF($A510="","",IFERROR(INDEX('Master Inventory'!$E:$E,MATCH($C510,'Master Inventory'!$A:$A,0)),0))</f>
        <v/>
      </c>
      <c r="G510">
        <f>IF($A510="","",'Blind Count Entry'!F508)</f>
        <v/>
      </c>
      <c r="H510">
        <f>IF($A510="","",G510-F510)</f>
        <v/>
      </c>
      <c r="I510" s="17">
        <f>IF($A510="","",IF(F510=0,IF(H510=0,0,1),ABS(H510)/F510))</f>
        <v/>
      </c>
      <c r="J510" s="18">
        <f>IF($A510="","",IF($E510="A",$E$1,IF($E510="B",$G$1,$I$1)))</f>
        <v/>
      </c>
      <c r="K510">
        <f>IF($A510="","",IF(H510=0,"MATCH",IF(I510&gt;J510,"RECOUNT","WITHIN TOLERANCE")))</f>
        <v/>
      </c>
      <c r="L510" s="5" t="n"/>
      <c r="M510">
        <f>IF(OR($A510="",$L510=""),"",L510-F510)</f>
        <v/>
      </c>
      <c r="N510" s="5" t="n"/>
      <c r="O510" s="5" t="n"/>
    </row>
    <row r="511">
      <c r="A511">
        <f>IF('Blind Count Entry'!A509="","",'Blind Count Entry'!A509)</f>
        <v/>
      </c>
      <c r="B511" s="16">
        <f>IF($A511="","",'Blind Count Entry'!B509)</f>
        <v/>
      </c>
      <c r="C511">
        <f>IF($A511="","",'Blind Count Entry'!C509)</f>
        <v/>
      </c>
      <c r="D511">
        <f>IF($A511="","",'Blind Count Entry'!D509)</f>
        <v/>
      </c>
      <c r="E511">
        <f>IF($A511="","",IFERROR(INDEX('ABC Analysis'!$F:$F,MATCH($C511,'ABC Analysis'!$A:$A,0)),""))</f>
        <v/>
      </c>
      <c r="F511">
        <f>IF($A511="","",IFERROR(INDEX('Master Inventory'!$E:$E,MATCH($C511,'Master Inventory'!$A:$A,0)),0))</f>
        <v/>
      </c>
      <c r="G511">
        <f>IF($A511="","",'Blind Count Entry'!F509)</f>
        <v/>
      </c>
      <c r="H511">
        <f>IF($A511="","",G511-F511)</f>
        <v/>
      </c>
      <c r="I511" s="17">
        <f>IF($A511="","",IF(F511=0,IF(H511=0,0,1),ABS(H511)/F511))</f>
        <v/>
      </c>
      <c r="J511" s="18">
        <f>IF($A511="","",IF($E511="A",$E$1,IF($E511="B",$G$1,$I$1)))</f>
        <v/>
      </c>
      <c r="K511">
        <f>IF($A511="","",IF(H511=0,"MATCH",IF(I511&gt;J511,"RECOUNT","WITHIN TOLERANCE")))</f>
        <v/>
      </c>
      <c r="L511" s="5" t="n"/>
      <c r="M511">
        <f>IF(OR($A511="",$L511=""),"",L511-F511)</f>
        <v/>
      </c>
      <c r="N511" s="5" t="n"/>
      <c r="O511" s="5" t="n"/>
    </row>
    <row r="512">
      <c r="A512">
        <f>IF('Blind Count Entry'!A510="","",'Blind Count Entry'!A510)</f>
        <v/>
      </c>
      <c r="B512" s="16">
        <f>IF($A512="","",'Blind Count Entry'!B510)</f>
        <v/>
      </c>
      <c r="C512">
        <f>IF($A512="","",'Blind Count Entry'!C510)</f>
        <v/>
      </c>
      <c r="D512">
        <f>IF($A512="","",'Blind Count Entry'!D510)</f>
        <v/>
      </c>
      <c r="E512">
        <f>IF($A512="","",IFERROR(INDEX('ABC Analysis'!$F:$F,MATCH($C512,'ABC Analysis'!$A:$A,0)),""))</f>
        <v/>
      </c>
      <c r="F512">
        <f>IF($A512="","",IFERROR(INDEX('Master Inventory'!$E:$E,MATCH($C512,'Master Inventory'!$A:$A,0)),0))</f>
        <v/>
      </c>
      <c r="G512">
        <f>IF($A512="","",'Blind Count Entry'!F510)</f>
        <v/>
      </c>
      <c r="H512">
        <f>IF($A512="","",G512-F512)</f>
        <v/>
      </c>
      <c r="I512" s="17">
        <f>IF($A512="","",IF(F512=0,IF(H512=0,0,1),ABS(H512)/F512))</f>
        <v/>
      </c>
      <c r="J512" s="18">
        <f>IF($A512="","",IF($E512="A",$E$1,IF($E512="B",$G$1,$I$1)))</f>
        <v/>
      </c>
      <c r="K512">
        <f>IF($A512="","",IF(H512=0,"MATCH",IF(I512&gt;J512,"RECOUNT","WITHIN TOLERANCE")))</f>
        <v/>
      </c>
      <c r="L512" s="5" t="n"/>
      <c r="M512">
        <f>IF(OR($A512="",$L512=""),"",L512-F512)</f>
        <v/>
      </c>
      <c r="N512" s="5" t="n"/>
      <c r="O512" s="5" t="n"/>
    </row>
    <row r="513">
      <c r="A513">
        <f>IF('Blind Count Entry'!A511="","",'Blind Count Entry'!A511)</f>
        <v/>
      </c>
      <c r="B513" s="16">
        <f>IF($A513="","",'Blind Count Entry'!B511)</f>
        <v/>
      </c>
      <c r="C513">
        <f>IF($A513="","",'Blind Count Entry'!C511)</f>
        <v/>
      </c>
      <c r="D513">
        <f>IF($A513="","",'Blind Count Entry'!D511)</f>
        <v/>
      </c>
      <c r="E513">
        <f>IF($A513="","",IFERROR(INDEX('ABC Analysis'!$F:$F,MATCH($C513,'ABC Analysis'!$A:$A,0)),""))</f>
        <v/>
      </c>
      <c r="F513">
        <f>IF($A513="","",IFERROR(INDEX('Master Inventory'!$E:$E,MATCH($C513,'Master Inventory'!$A:$A,0)),0))</f>
        <v/>
      </c>
      <c r="G513">
        <f>IF($A513="","",'Blind Count Entry'!F511)</f>
        <v/>
      </c>
      <c r="H513">
        <f>IF($A513="","",G513-F513)</f>
        <v/>
      </c>
      <c r="I513" s="17">
        <f>IF($A513="","",IF(F513=0,IF(H513=0,0,1),ABS(H513)/F513))</f>
        <v/>
      </c>
      <c r="J513" s="18">
        <f>IF($A513="","",IF($E513="A",$E$1,IF($E513="B",$G$1,$I$1)))</f>
        <v/>
      </c>
      <c r="K513">
        <f>IF($A513="","",IF(H513=0,"MATCH",IF(I513&gt;J513,"RECOUNT","WITHIN TOLERANCE")))</f>
        <v/>
      </c>
      <c r="L513" s="5" t="n"/>
      <c r="M513">
        <f>IF(OR($A513="",$L513=""),"",L513-F513)</f>
        <v/>
      </c>
      <c r="N513" s="5" t="n"/>
      <c r="O513" s="5" t="n"/>
    </row>
    <row r="514">
      <c r="A514">
        <f>IF('Blind Count Entry'!A512="","",'Blind Count Entry'!A512)</f>
        <v/>
      </c>
      <c r="B514" s="16">
        <f>IF($A514="","",'Blind Count Entry'!B512)</f>
        <v/>
      </c>
      <c r="C514">
        <f>IF($A514="","",'Blind Count Entry'!C512)</f>
        <v/>
      </c>
      <c r="D514">
        <f>IF($A514="","",'Blind Count Entry'!D512)</f>
        <v/>
      </c>
      <c r="E514">
        <f>IF($A514="","",IFERROR(INDEX('ABC Analysis'!$F:$F,MATCH($C514,'ABC Analysis'!$A:$A,0)),""))</f>
        <v/>
      </c>
      <c r="F514">
        <f>IF($A514="","",IFERROR(INDEX('Master Inventory'!$E:$E,MATCH($C514,'Master Inventory'!$A:$A,0)),0))</f>
        <v/>
      </c>
      <c r="G514">
        <f>IF($A514="","",'Blind Count Entry'!F512)</f>
        <v/>
      </c>
      <c r="H514">
        <f>IF($A514="","",G514-F514)</f>
        <v/>
      </c>
      <c r="I514" s="17">
        <f>IF($A514="","",IF(F514=0,IF(H514=0,0,1),ABS(H514)/F514))</f>
        <v/>
      </c>
      <c r="J514" s="18">
        <f>IF($A514="","",IF($E514="A",$E$1,IF($E514="B",$G$1,$I$1)))</f>
        <v/>
      </c>
      <c r="K514">
        <f>IF($A514="","",IF(H514=0,"MATCH",IF(I514&gt;J514,"RECOUNT","WITHIN TOLERANCE")))</f>
        <v/>
      </c>
      <c r="L514" s="5" t="n"/>
      <c r="M514">
        <f>IF(OR($A514="",$L514=""),"",L514-F514)</f>
        <v/>
      </c>
      <c r="N514" s="5" t="n"/>
      <c r="O514" s="5" t="n"/>
    </row>
    <row r="515">
      <c r="A515">
        <f>IF('Blind Count Entry'!A513="","",'Blind Count Entry'!A513)</f>
        <v/>
      </c>
      <c r="B515" s="16">
        <f>IF($A515="","",'Blind Count Entry'!B513)</f>
        <v/>
      </c>
      <c r="C515">
        <f>IF($A515="","",'Blind Count Entry'!C513)</f>
        <v/>
      </c>
      <c r="D515">
        <f>IF($A515="","",'Blind Count Entry'!D513)</f>
        <v/>
      </c>
      <c r="E515">
        <f>IF($A515="","",IFERROR(INDEX('ABC Analysis'!$F:$F,MATCH($C515,'ABC Analysis'!$A:$A,0)),""))</f>
        <v/>
      </c>
      <c r="F515">
        <f>IF($A515="","",IFERROR(INDEX('Master Inventory'!$E:$E,MATCH($C515,'Master Inventory'!$A:$A,0)),0))</f>
        <v/>
      </c>
      <c r="G515">
        <f>IF($A515="","",'Blind Count Entry'!F513)</f>
        <v/>
      </c>
      <c r="H515">
        <f>IF($A515="","",G515-F515)</f>
        <v/>
      </c>
      <c r="I515" s="17">
        <f>IF($A515="","",IF(F515=0,IF(H515=0,0,1),ABS(H515)/F515))</f>
        <v/>
      </c>
      <c r="J515" s="18">
        <f>IF($A515="","",IF($E515="A",$E$1,IF($E515="B",$G$1,$I$1)))</f>
        <v/>
      </c>
      <c r="K515">
        <f>IF($A515="","",IF(H515=0,"MATCH",IF(I515&gt;J515,"RECOUNT","WITHIN TOLERANCE")))</f>
        <v/>
      </c>
      <c r="L515" s="5" t="n"/>
      <c r="M515">
        <f>IF(OR($A515="",$L515=""),"",L515-F515)</f>
        <v/>
      </c>
      <c r="N515" s="5" t="n"/>
      <c r="O515" s="5" t="n"/>
    </row>
    <row r="516">
      <c r="A516">
        <f>IF('Blind Count Entry'!A514="","",'Blind Count Entry'!A514)</f>
        <v/>
      </c>
      <c r="B516" s="16">
        <f>IF($A516="","",'Blind Count Entry'!B514)</f>
        <v/>
      </c>
      <c r="C516">
        <f>IF($A516="","",'Blind Count Entry'!C514)</f>
        <v/>
      </c>
      <c r="D516">
        <f>IF($A516="","",'Blind Count Entry'!D514)</f>
        <v/>
      </c>
      <c r="E516">
        <f>IF($A516="","",IFERROR(INDEX('ABC Analysis'!$F:$F,MATCH($C516,'ABC Analysis'!$A:$A,0)),""))</f>
        <v/>
      </c>
      <c r="F516">
        <f>IF($A516="","",IFERROR(INDEX('Master Inventory'!$E:$E,MATCH($C516,'Master Inventory'!$A:$A,0)),0))</f>
        <v/>
      </c>
      <c r="G516">
        <f>IF($A516="","",'Blind Count Entry'!F514)</f>
        <v/>
      </c>
      <c r="H516">
        <f>IF($A516="","",G516-F516)</f>
        <v/>
      </c>
      <c r="I516" s="17">
        <f>IF($A516="","",IF(F516=0,IF(H516=0,0,1),ABS(H516)/F516))</f>
        <v/>
      </c>
      <c r="J516" s="18">
        <f>IF($A516="","",IF($E516="A",$E$1,IF($E516="B",$G$1,$I$1)))</f>
        <v/>
      </c>
      <c r="K516">
        <f>IF($A516="","",IF(H516=0,"MATCH",IF(I516&gt;J516,"RECOUNT","WITHIN TOLERANCE")))</f>
        <v/>
      </c>
      <c r="L516" s="5" t="n"/>
      <c r="M516">
        <f>IF(OR($A516="",$L516=""),"",L516-F516)</f>
        <v/>
      </c>
      <c r="N516" s="5" t="n"/>
      <c r="O516" s="5" t="n"/>
    </row>
    <row r="517">
      <c r="A517">
        <f>IF('Blind Count Entry'!A515="","",'Blind Count Entry'!A515)</f>
        <v/>
      </c>
      <c r="B517" s="16">
        <f>IF($A517="","",'Blind Count Entry'!B515)</f>
        <v/>
      </c>
      <c r="C517">
        <f>IF($A517="","",'Blind Count Entry'!C515)</f>
        <v/>
      </c>
      <c r="D517">
        <f>IF($A517="","",'Blind Count Entry'!D515)</f>
        <v/>
      </c>
      <c r="E517">
        <f>IF($A517="","",IFERROR(INDEX('ABC Analysis'!$F:$F,MATCH($C517,'ABC Analysis'!$A:$A,0)),""))</f>
        <v/>
      </c>
      <c r="F517">
        <f>IF($A517="","",IFERROR(INDEX('Master Inventory'!$E:$E,MATCH($C517,'Master Inventory'!$A:$A,0)),0))</f>
        <v/>
      </c>
      <c r="G517">
        <f>IF($A517="","",'Blind Count Entry'!F515)</f>
        <v/>
      </c>
      <c r="H517">
        <f>IF($A517="","",G517-F517)</f>
        <v/>
      </c>
      <c r="I517" s="17">
        <f>IF($A517="","",IF(F517=0,IF(H517=0,0,1),ABS(H517)/F517))</f>
        <v/>
      </c>
      <c r="J517" s="18">
        <f>IF($A517="","",IF($E517="A",$E$1,IF($E517="B",$G$1,$I$1)))</f>
        <v/>
      </c>
      <c r="K517">
        <f>IF($A517="","",IF(H517=0,"MATCH",IF(I517&gt;J517,"RECOUNT","WITHIN TOLERANCE")))</f>
        <v/>
      </c>
      <c r="L517" s="5" t="n"/>
      <c r="M517">
        <f>IF(OR($A517="",$L517=""),"",L517-F517)</f>
        <v/>
      </c>
      <c r="N517" s="5" t="n"/>
      <c r="O517" s="5" t="n"/>
    </row>
    <row r="518">
      <c r="A518">
        <f>IF('Blind Count Entry'!A516="","",'Blind Count Entry'!A516)</f>
        <v/>
      </c>
      <c r="B518" s="16">
        <f>IF($A518="","",'Blind Count Entry'!B516)</f>
        <v/>
      </c>
      <c r="C518">
        <f>IF($A518="","",'Blind Count Entry'!C516)</f>
        <v/>
      </c>
      <c r="D518">
        <f>IF($A518="","",'Blind Count Entry'!D516)</f>
        <v/>
      </c>
      <c r="E518">
        <f>IF($A518="","",IFERROR(INDEX('ABC Analysis'!$F:$F,MATCH($C518,'ABC Analysis'!$A:$A,0)),""))</f>
        <v/>
      </c>
      <c r="F518">
        <f>IF($A518="","",IFERROR(INDEX('Master Inventory'!$E:$E,MATCH($C518,'Master Inventory'!$A:$A,0)),0))</f>
        <v/>
      </c>
      <c r="G518">
        <f>IF($A518="","",'Blind Count Entry'!F516)</f>
        <v/>
      </c>
      <c r="H518">
        <f>IF($A518="","",G518-F518)</f>
        <v/>
      </c>
      <c r="I518" s="17">
        <f>IF($A518="","",IF(F518=0,IF(H518=0,0,1),ABS(H518)/F518))</f>
        <v/>
      </c>
      <c r="J518" s="18">
        <f>IF($A518="","",IF($E518="A",$E$1,IF($E518="B",$G$1,$I$1)))</f>
        <v/>
      </c>
      <c r="K518">
        <f>IF($A518="","",IF(H518=0,"MATCH",IF(I518&gt;J518,"RECOUNT","WITHIN TOLERANCE")))</f>
        <v/>
      </c>
      <c r="L518" s="5" t="n"/>
      <c r="M518">
        <f>IF(OR($A518="",$L518=""),"",L518-F518)</f>
        <v/>
      </c>
      <c r="N518" s="5" t="n"/>
      <c r="O518" s="5" t="n"/>
    </row>
    <row r="519">
      <c r="A519">
        <f>IF('Blind Count Entry'!A517="","",'Blind Count Entry'!A517)</f>
        <v/>
      </c>
      <c r="B519" s="16">
        <f>IF($A519="","",'Blind Count Entry'!B517)</f>
        <v/>
      </c>
      <c r="C519">
        <f>IF($A519="","",'Blind Count Entry'!C517)</f>
        <v/>
      </c>
      <c r="D519">
        <f>IF($A519="","",'Blind Count Entry'!D517)</f>
        <v/>
      </c>
      <c r="E519">
        <f>IF($A519="","",IFERROR(INDEX('ABC Analysis'!$F:$F,MATCH($C519,'ABC Analysis'!$A:$A,0)),""))</f>
        <v/>
      </c>
      <c r="F519">
        <f>IF($A519="","",IFERROR(INDEX('Master Inventory'!$E:$E,MATCH($C519,'Master Inventory'!$A:$A,0)),0))</f>
        <v/>
      </c>
      <c r="G519">
        <f>IF($A519="","",'Blind Count Entry'!F517)</f>
        <v/>
      </c>
      <c r="H519">
        <f>IF($A519="","",G519-F519)</f>
        <v/>
      </c>
      <c r="I519" s="17">
        <f>IF($A519="","",IF(F519=0,IF(H519=0,0,1),ABS(H519)/F519))</f>
        <v/>
      </c>
      <c r="J519" s="18">
        <f>IF($A519="","",IF($E519="A",$E$1,IF($E519="B",$G$1,$I$1)))</f>
        <v/>
      </c>
      <c r="K519">
        <f>IF($A519="","",IF(H519=0,"MATCH",IF(I519&gt;J519,"RECOUNT","WITHIN TOLERANCE")))</f>
        <v/>
      </c>
      <c r="L519" s="5" t="n"/>
      <c r="M519">
        <f>IF(OR($A519="",$L519=""),"",L519-F519)</f>
        <v/>
      </c>
      <c r="N519" s="5" t="n"/>
      <c r="O519" s="5" t="n"/>
    </row>
    <row r="520">
      <c r="A520">
        <f>IF('Blind Count Entry'!A518="","",'Blind Count Entry'!A518)</f>
        <v/>
      </c>
      <c r="B520" s="16">
        <f>IF($A520="","",'Blind Count Entry'!B518)</f>
        <v/>
      </c>
      <c r="C520">
        <f>IF($A520="","",'Blind Count Entry'!C518)</f>
        <v/>
      </c>
      <c r="D520">
        <f>IF($A520="","",'Blind Count Entry'!D518)</f>
        <v/>
      </c>
      <c r="E520">
        <f>IF($A520="","",IFERROR(INDEX('ABC Analysis'!$F:$F,MATCH($C520,'ABC Analysis'!$A:$A,0)),""))</f>
        <v/>
      </c>
      <c r="F520">
        <f>IF($A520="","",IFERROR(INDEX('Master Inventory'!$E:$E,MATCH($C520,'Master Inventory'!$A:$A,0)),0))</f>
        <v/>
      </c>
      <c r="G520">
        <f>IF($A520="","",'Blind Count Entry'!F518)</f>
        <v/>
      </c>
      <c r="H520">
        <f>IF($A520="","",G520-F520)</f>
        <v/>
      </c>
      <c r="I520" s="17">
        <f>IF($A520="","",IF(F520=0,IF(H520=0,0,1),ABS(H520)/F520))</f>
        <v/>
      </c>
      <c r="J520" s="18">
        <f>IF($A520="","",IF($E520="A",$E$1,IF($E520="B",$G$1,$I$1)))</f>
        <v/>
      </c>
      <c r="K520">
        <f>IF($A520="","",IF(H520=0,"MATCH",IF(I520&gt;J520,"RECOUNT","WITHIN TOLERANCE")))</f>
        <v/>
      </c>
      <c r="L520" s="5" t="n"/>
      <c r="M520">
        <f>IF(OR($A520="",$L520=""),"",L520-F520)</f>
        <v/>
      </c>
      <c r="N520" s="5" t="n"/>
      <c r="O520" s="5" t="n"/>
    </row>
    <row r="521">
      <c r="A521">
        <f>IF('Blind Count Entry'!A519="","",'Blind Count Entry'!A519)</f>
        <v/>
      </c>
      <c r="B521" s="16">
        <f>IF($A521="","",'Blind Count Entry'!B519)</f>
        <v/>
      </c>
      <c r="C521">
        <f>IF($A521="","",'Blind Count Entry'!C519)</f>
        <v/>
      </c>
      <c r="D521">
        <f>IF($A521="","",'Blind Count Entry'!D519)</f>
        <v/>
      </c>
      <c r="E521">
        <f>IF($A521="","",IFERROR(INDEX('ABC Analysis'!$F:$F,MATCH($C521,'ABC Analysis'!$A:$A,0)),""))</f>
        <v/>
      </c>
      <c r="F521">
        <f>IF($A521="","",IFERROR(INDEX('Master Inventory'!$E:$E,MATCH($C521,'Master Inventory'!$A:$A,0)),0))</f>
        <v/>
      </c>
      <c r="G521">
        <f>IF($A521="","",'Blind Count Entry'!F519)</f>
        <v/>
      </c>
      <c r="H521">
        <f>IF($A521="","",G521-F521)</f>
        <v/>
      </c>
      <c r="I521" s="17">
        <f>IF($A521="","",IF(F521=0,IF(H521=0,0,1),ABS(H521)/F521))</f>
        <v/>
      </c>
      <c r="J521" s="18">
        <f>IF($A521="","",IF($E521="A",$E$1,IF($E521="B",$G$1,$I$1)))</f>
        <v/>
      </c>
      <c r="K521">
        <f>IF($A521="","",IF(H521=0,"MATCH",IF(I521&gt;J521,"RECOUNT","WITHIN TOLERANCE")))</f>
        <v/>
      </c>
      <c r="L521" s="5" t="n"/>
      <c r="M521">
        <f>IF(OR($A521="",$L521=""),"",L521-F521)</f>
        <v/>
      </c>
      <c r="N521" s="5" t="n"/>
      <c r="O521" s="5" t="n"/>
    </row>
    <row r="522">
      <c r="A522">
        <f>IF('Blind Count Entry'!A520="","",'Blind Count Entry'!A520)</f>
        <v/>
      </c>
      <c r="B522" s="16">
        <f>IF($A522="","",'Blind Count Entry'!B520)</f>
        <v/>
      </c>
      <c r="C522">
        <f>IF($A522="","",'Blind Count Entry'!C520)</f>
        <v/>
      </c>
      <c r="D522">
        <f>IF($A522="","",'Blind Count Entry'!D520)</f>
        <v/>
      </c>
      <c r="E522">
        <f>IF($A522="","",IFERROR(INDEX('ABC Analysis'!$F:$F,MATCH($C522,'ABC Analysis'!$A:$A,0)),""))</f>
        <v/>
      </c>
      <c r="F522">
        <f>IF($A522="","",IFERROR(INDEX('Master Inventory'!$E:$E,MATCH($C522,'Master Inventory'!$A:$A,0)),0))</f>
        <v/>
      </c>
      <c r="G522">
        <f>IF($A522="","",'Blind Count Entry'!F520)</f>
        <v/>
      </c>
      <c r="H522">
        <f>IF($A522="","",G522-F522)</f>
        <v/>
      </c>
      <c r="I522" s="17">
        <f>IF($A522="","",IF(F522=0,IF(H522=0,0,1),ABS(H522)/F522))</f>
        <v/>
      </c>
      <c r="J522" s="18">
        <f>IF($A522="","",IF($E522="A",$E$1,IF($E522="B",$G$1,$I$1)))</f>
        <v/>
      </c>
      <c r="K522">
        <f>IF($A522="","",IF(H522=0,"MATCH",IF(I522&gt;J522,"RECOUNT","WITHIN TOLERANCE")))</f>
        <v/>
      </c>
      <c r="L522" s="5" t="n"/>
      <c r="M522">
        <f>IF(OR($A522="",$L522=""),"",L522-F522)</f>
        <v/>
      </c>
      <c r="N522" s="5" t="n"/>
      <c r="O522" s="5" t="n"/>
    </row>
    <row r="523">
      <c r="A523">
        <f>IF('Blind Count Entry'!A521="","",'Blind Count Entry'!A521)</f>
        <v/>
      </c>
      <c r="B523" s="16">
        <f>IF($A523="","",'Blind Count Entry'!B521)</f>
        <v/>
      </c>
      <c r="C523">
        <f>IF($A523="","",'Blind Count Entry'!C521)</f>
        <v/>
      </c>
      <c r="D523">
        <f>IF($A523="","",'Blind Count Entry'!D521)</f>
        <v/>
      </c>
      <c r="E523">
        <f>IF($A523="","",IFERROR(INDEX('ABC Analysis'!$F:$F,MATCH($C523,'ABC Analysis'!$A:$A,0)),""))</f>
        <v/>
      </c>
      <c r="F523">
        <f>IF($A523="","",IFERROR(INDEX('Master Inventory'!$E:$E,MATCH($C523,'Master Inventory'!$A:$A,0)),0))</f>
        <v/>
      </c>
      <c r="G523">
        <f>IF($A523="","",'Blind Count Entry'!F521)</f>
        <v/>
      </c>
      <c r="H523">
        <f>IF($A523="","",G523-F523)</f>
        <v/>
      </c>
      <c r="I523" s="17">
        <f>IF($A523="","",IF(F523=0,IF(H523=0,0,1),ABS(H523)/F523))</f>
        <v/>
      </c>
      <c r="J523" s="18">
        <f>IF($A523="","",IF($E523="A",$E$1,IF($E523="B",$G$1,$I$1)))</f>
        <v/>
      </c>
      <c r="K523">
        <f>IF($A523="","",IF(H523=0,"MATCH",IF(I523&gt;J523,"RECOUNT","WITHIN TOLERANCE")))</f>
        <v/>
      </c>
      <c r="L523" s="5" t="n"/>
      <c r="M523">
        <f>IF(OR($A523="",$L523=""),"",L523-F523)</f>
        <v/>
      </c>
      <c r="N523" s="5" t="n"/>
      <c r="O523" s="5" t="n"/>
    </row>
    <row r="524">
      <c r="A524">
        <f>IF('Blind Count Entry'!A522="","",'Blind Count Entry'!A522)</f>
        <v/>
      </c>
      <c r="B524" s="16">
        <f>IF($A524="","",'Blind Count Entry'!B522)</f>
        <v/>
      </c>
      <c r="C524">
        <f>IF($A524="","",'Blind Count Entry'!C522)</f>
        <v/>
      </c>
      <c r="D524">
        <f>IF($A524="","",'Blind Count Entry'!D522)</f>
        <v/>
      </c>
      <c r="E524">
        <f>IF($A524="","",IFERROR(INDEX('ABC Analysis'!$F:$F,MATCH($C524,'ABC Analysis'!$A:$A,0)),""))</f>
        <v/>
      </c>
      <c r="F524">
        <f>IF($A524="","",IFERROR(INDEX('Master Inventory'!$E:$E,MATCH($C524,'Master Inventory'!$A:$A,0)),0))</f>
        <v/>
      </c>
      <c r="G524">
        <f>IF($A524="","",'Blind Count Entry'!F522)</f>
        <v/>
      </c>
      <c r="H524">
        <f>IF($A524="","",G524-F524)</f>
        <v/>
      </c>
      <c r="I524" s="17">
        <f>IF($A524="","",IF(F524=0,IF(H524=0,0,1),ABS(H524)/F524))</f>
        <v/>
      </c>
      <c r="J524" s="18">
        <f>IF($A524="","",IF($E524="A",$E$1,IF($E524="B",$G$1,$I$1)))</f>
        <v/>
      </c>
      <c r="K524">
        <f>IF($A524="","",IF(H524=0,"MATCH",IF(I524&gt;J524,"RECOUNT","WITHIN TOLERANCE")))</f>
        <v/>
      </c>
      <c r="L524" s="5" t="n"/>
      <c r="M524">
        <f>IF(OR($A524="",$L524=""),"",L524-F524)</f>
        <v/>
      </c>
      <c r="N524" s="5" t="n"/>
      <c r="O524" s="5" t="n"/>
    </row>
    <row r="525">
      <c r="A525">
        <f>IF('Blind Count Entry'!A523="","",'Blind Count Entry'!A523)</f>
        <v/>
      </c>
      <c r="B525" s="16">
        <f>IF($A525="","",'Blind Count Entry'!B523)</f>
        <v/>
      </c>
      <c r="C525">
        <f>IF($A525="","",'Blind Count Entry'!C523)</f>
        <v/>
      </c>
      <c r="D525">
        <f>IF($A525="","",'Blind Count Entry'!D523)</f>
        <v/>
      </c>
      <c r="E525">
        <f>IF($A525="","",IFERROR(INDEX('ABC Analysis'!$F:$F,MATCH($C525,'ABC Analysis'!$A:$A,0)),""))</f>
        <v/>
      </c>
      <c r="F525">
        <f>IF($A525="","",IFERROR(INDEX('Master Inventory'!$E:$E,MATCH($C525,'Master Inventory'!$A:$A,0)),0))</f>
        <v/>
      </c>
      <c r="G525">
        <f>IF($A525="","",'Blind Count Entry'!F523)</f>
        <v/>
      </c>
      <c r="H525">
        <f>IF($A525="","",G525-F525)</f>
        <v/>
      </c>
      <c r="I525" s="17">
        <f>IF($A525="","",IF(F525=0,IF(H525=0,0,1),ABS(H525)/F525))</f>
        <v/>
      </c>
      <c r="J525" s="18">
        <f>IF($A525="","",IF($E525="A",$E$1,IF($E525="B",$G$1,$I$1)))</f>
        <v/>
      </c>
      <c r="K525">
        <f>IF($A525="","",IF(H525=0,"MATCH",IF(I525&gt;J525,"RECOUNT","WITHIN TOLERANCE")))</f>
        <v/>
      </c>
      <c r="L525" s="5" t="n"/>
      <c r="M525">
        <f>IF(OR($A525="",$L525=""),"",L525-F525)</f>
        <v/>
      </c>
      <c r="N525" s="5" t="n"/>
      <c r="O525" s="5" t="n"/>
    </row>
    <row r="526">
      <c r="A526">
        <f>IF('Blind Count Entry'!A524="","",'Blind Count Entry'!A524)</f>
        <v/>
      </c>
      <c r="B526" s="16">
        <f>IF($A526="","",'Blind Count Entry'!B524)</f>
        <v/>
      </c>
      <c r="C526">
        <f>IF($A526="","",'Blind Count Entry'!C524)</f>
        <v/>
      </c>
      <c r="D526">
        <f>IF($A526="","",'Blind Count Entry'!D524)</f>
        <v/>
      </c>
      <c r="E526">
        <f>IF($A526="","",IFERROR(INDEX('ABC Analysis'!$F:$F,MATCH($C526,'ABC Analysis'!$A:$A,0)),""))</f>
        <v/>
      </c>
      <c r="F526">
        <f>IF($A526="","",IFERROR(INDEX('Master Inventory'!$E:$E,MATCH($C526,'Master Inventory'!$A:$A,0)),0))</f>
        <v/>
      </c>
      <c r="G526">
        <f>IF($A526="","",'Blind Count Entry'!F524)</f>
        <v/>
      </c>
      <c r="H526">
        <f>IF($A526="","",G526-F526)</f>
        <v/>
      </c>
      <c r="I526" s="17">
        <f>IF($A526="","",IF(F526=0,IF(H526=0,0,1),ABS(H526)/F526))</f>
        <v/>
      </c>
      <c r="J526" s="18">
        <f>IF($A526="","",IF($E526="A",$E$1,IF($E526="B",$G$1,$I$1)))</f>
        <v/>
      </c>
      <c r="K526">
        <f>IF($A526="","",IF(H526=0,"MATCH",IF(I526&gt;J526,"RECOUNT","WITHIN TOLERANCE")))</f>
        <v/>
      </c>
      <c r="L526" s="5" t="n"/>
      <c r="M526">
        <f>IF(OR($A526="",$L526=""),"",L526-F526)</f>
        <v/>
      </c>
      <c r="N526" s="5" t="n"/>
      <c r="O526" s="5" t="n"/>
    </row>
    <row r="527">
      <c r="A527">
        <f>IF('Blind Count Entry'!A525="","",'Blind Count Entry'!A525)</f>
        <v/>
      </c>
      <c r="B527" s="16">
        <f>IF($A527="","",'Blind Count Entry'!B525)</f>
        <v/>
      </c>
      <c r="C527">
        <f>IF($A527="","",'Blind Count Entry'!C525)</f>
        <v/>
      </c>
      <c r="D527">
        <f>IF($A527="","",'Blind Count Entry'!D525)</f>
        <v/>
      </c>
      <c r="E527">
        <f>IF($A527="","",IFERROR(INDEX('ABC Analysis'!$F:$F,MATCH($C527,'ABC Analysis'!$A:$A,0)),""))</f>
        <v/>
      </c>
      <c r="F527">
        <f>IF($A527="","",IFERROR(INDEX('Master Inventory'!$E:$E,MATCH($C527,'Master Inventory'!$A:$A,0)),0))</f>
        <v/>
      </c>
      <c r="G527">
        <f>IF($A527="","",'Blind Count Entry'!F525)</f>
        <v/>
      </c>
      <c r="H527">
        <f>IF($A527="","",G527-F527)</f>
        <v/>
      </c>
      <c r="I527" s="17">
        <f>IF($A527="","",IF(F527=0,IF(H527=0,0,1),ABS(H527)/F527))</f>
        <v/>
      </c>
      <c r="J527" s="18">
        <f>IF($A527="","",IF($E527="A",$E$1,IF($E527="B",$G$1,$I$1)))</f>
        <v/>
      </c>
      <c r="K527">
        <f>IF($A527="","",IF(H527=0,"MATCH",IF(I527&gt;J527,"RECOUNT","WITHIN TOLERANCE")))</f>
        <v/>
      </c>
      <c r="L527" s="5" t="n"/>
      <c r="M527">
        <f>IF(OR($A527="",$L527=""),"",L527-F527)</f>
        <v/>
      </c>
      <c r="N527" s="5" t="n"/>
      <c r="O527" s="5" t="n"/>
    </row>
    <row r="528">
      <c r="A528">
        <f>IF('Blind Count Entry'!A526="","",'Blind Count Entry'!A526)</f>
        <v/>
      </c>
      <c r="B528" s="16">
        <f>IF($A528="","",'Blind Count Entry'!B526)</f>
        <v/>
      </c>
      <c r="C528">
        <f>IF($A528="","",'Blind Count Entry'!C526)</f>
        <v/>
      </c>
      <c r="D528">
        <f>IF($A528="","",'Blind Count Entry'!D526)</f>
        <v/>
      </c>
      <c r="E528">
        <f>IF($A528="","",IFERROR(INDEX('ABC Analysis'!$F:$F,MATCH($C528,'ABC Analysis'!$A:$A,0)),""))</f>
        <v/>
      </c>
      <c r="F528">
        <f>IF($A528="","",IFERROR(INDEX('Master Inventory'!$E:$E,MATCH($C528,'Master Inventory'!$A:$A,0)),0))</f>
        <v/>
      </c>
      <c r="G528">
        <f>IF($A528="","",'Blind Count Entry'!F526)</f>
        <v/>
      </c>
      <c r="H528">
        <f>IF($A528="","",G528-F528)</f>
        <v/>
      </c>
      <c r="I528" s="17">
        <f>IF($A528="","",IF(F528=0,IF(H528=0,0,1),ABS(H528)/F528))</f>
        <v/>
      </c>
      <c r="J528" s="18">
        <f>IF($A528="","",IF($E528="A",$E$1,IF($E528="B",$G$1,$I$1)))</f>
        <v/>
      </c>
      <c r="K528">
        <f>IF($A528="","",IF(H528=0,"MATCH",IF(I528&gt;J528,"RECOUNT","WITHIN TOLERANCE")))</f>
        <v/>
      </c>
      <c r="L528" s="5" t="n"/>
      <c r="M528">
        <f>IF(OR($A528="",$L528=""),"",L528-F528)</f>
        <v/>
      </c>
      <c r="N528" s="5" t="n"/>
      <c r="O528" s="5" t="n"/>
    </row>
    <row r="529">
      <c r="A529">
        <f>IF('Blind Count Entry'!A527="","",'Blind Count Entry'!A527)</f>
        <v/>
      </c>
      <c r="B529" s="16">
        <f>IF($A529="","",'Blind Count Entry'!B527)</f>
        <v/>
      </c>
      <c r="C529">
        <f>IF($A529="","",'Blind Count Entry'!C527)</f>
        <v/>
      </c>
      <c r="D529">
        <f>IF($A529="","",'Blind Count Entry'!D527)</f>
        <v/>
      </c>
      <c r="E529">
        <f>IF($A529="","",IFERROR(INDEX('ABC Analysis'!$F:$F,MATCH($C529,'ABC Analysis'!$A:$A,0)),""))</f>
        <v/>
      </c>
      <c r="F529">
        <f>IF($A529="","",IFERROR(INDEX('Master Inventory'!$E:$E,MATCH($C529,'Master Inventory'!$A:$A,0)),0))</f>
        <v/>
      </c>
      <c r="G529">
        <f>IF($A529="","",'Blind Count Entry'!F527)</f>
        <v/>
      </c>
      <c r="H529">
        <f>IF($A529="","",G529-F529)</f>
        <v/>
      </c>
      <c r="I529" s="17">
        <f>IF($A529="","",IF(F529=0,IF(H529=0,0,1),ABS(H529)/F529))</f>
        <v/>
      </c>
      <c r="J529" s="18">
        <f>IF($A529="","",IF($E529="A",$E$1,IF($E529="B",$G$1,$I$1)))</f>
        <v/>
      </c>
      <c r="K529">
        <f>IF($A529="","",IF(H529=0,"MATCH",IF(I529&gt;J529,"RECOUNT","WITHIN TOLERANCE")))</f>
        <v/>
      </c>
      <c r="L529" s="5" t="n"/>
      <c r="M529">
        <f>IF(OR($A529="",$L529=""),"",L529-F529)</f>
        <v/>
      </c>
      <c r="N529" s="5" t="n"/>
      <c r="O529" s="5" t="n"/>
    </row>
    <row r="530">
      <c r="A530">
        <f>IF('Blind Count Entry'!A528="","",'Blind Count Entry'!A528)</f>
        <v/>
      </c>
      <c r="B530" s="16">
        <f>IF($A530="","",'Blind Count Entry'!B528)</f>
        <v/>
      </c>
      <c r="C530">
        <f>IF($A530="","",'Blind Count Entry'!C528)</f>
        <v/>
      </c>
      <c r="D530">
        <f>IF($A530="","",'Blind Count Entry'!D528)</f>
        <v/>
      </c>
      <c r="E530">
        <f>IF($A530="","",IFERROR(INDEX('ABC Analysis'!$F:$F,MATCH($C530,'ABC Analysis'!$A:$A,0)),""))</f>
        <v/>
      </c>
      <c r="F530">
        <f>IF($A530="","",IFERROR(INDEX('Master Inventory'!$E:$E,MATCH($C530,'Master Inventory'!$A:$A,0)),0))</f>
        <v/>
      </c>
      <c r="G530">
        <f>IF($A530="","",'Blind Count Entry'!F528)</f>
        <v/>
      </c>
      <c r="H530">
        <f>IF($A530="","",G530-F530)</f>
        <v/>
      </c>
      <c r="I530" s="17">
        <f>IF($A530="","",IF(F530=0,IF(H530=0,0,1),ABS(H530)/F530))</f>
        <v/>
      </c>
      <c r="J530" s="18">
        <f>IF($A530="","",IF($E530="A",$E$1,IF($E530="B",$G$1,$I$1)))</f>
        <v/>
      </c>
      <c r="K530">
        <f>IF($A530="","",IF(H530=0,"MATCH",IF(I530&gt;J530,"RECOUNT","WITHIN TOLERANCE")))</f>
        <v/>
      </c>
      <c r="L530" s="5" t="n"/>
      <c r="M530">
        <f>IF(OR($A530="",$L530=""),"",L530-F530)</f>
        <v/>
      </c>
      <c r="N530" s="5" t="n"/>
      <c r="O530" s="5" t="n"/>
    </row>
    <row r="531">
      <c r="A531">
        <f>IF('Blind Count Entry'!A529="","",'Blind Count Entry'!A529)</f>
        <v/>
      </c>
      <c r="B531" s="16">
        <f>IF($A531="","",'Blind Count Entry'!B529)</f>
        <v/>
      </c>
      <c r="C531">
        <f>IF($A531="","",'Blind Count Entry'!C529)</f>
        <v/>
      </c>
      <c r="D531">
        <f>IF($A531="","",'Blind Count Entry'!D529)</f>
        <v/>
      </c>
      <c r="E531">
        <f>IF($A531="","",IFERROR(INDEX('ABC Analysis'!$F:$F,MATCH($C531,'ABC Analysis'!$A:$A,0)),""))</f>
        <v/>
      </c>
      <c r="F531">
        <f>IF($A531="","",IFERROR(INDEX('Master Inventory'!$E:$E,MATCH($C531,'Master Inventory'!$A:$A,0)),0))</f>
        <v/>
      </c>
      <c r="G531">
        <f>IF($A531="","",'Blind Count Entry'!F529)</f>
        <v/>
      </c>
      <c r="H531">
        <f>IF($A531="","",G531-F531)</f>
        <v/>
      </c>
      <c r="I531" s="17">
        <f>IF($A531="","",IF(F531=0,IF(H531=0,0,1),ABS(H531)/F531))</f>
        <v/>
      </c>
      <c r="J531" s="18">
        <f>IF($A531="","",IF($E531="A",$E$1,IF($E531="B",$G$1,$I$1)))</f>
        <v/>
      </c>
      <c r="K531">
        <f>IF($A531="","",IF(H531=0,"MATCH",IF(I531&gt;J531,"RECOUNT","WITHIN TOLERANCE")))</f>
        <v/>
      </c>
      <c r="L531" s="5" t="n"/>
      <c r="M531">
        <f>IF(OR($A531="",$L531=""),"",L531-F531)</f>
        <v/>
      </c>
      <c r="N531" s="5" t="n"/>
      <c r="O531" s="5" t="n"/>
    </row>
    <row r="532">
      <c r="A532">
        <f>IF('Blind Count Entry'!A530="","",'Blind Count Entry'!A530)</f>
        <v/>
      </c>
      <c r="B532" s="16">
        <f>IF($A532="","",'Blind Count Entry'!B530)</f>
        <v/>
      </c>
      <c r="C532">
        <f>IF($A532="","",'Blind Count Entry'!C530)</f>
        <v/>
      </c>
      <c r="D532">
        <f>IF($A532="","",'Blind Count Entry'!D530)</f>
        <v/>
      </c>
      <c r="E532">
        <f>IF($A532="","",IFERROR(INDEX('ABC Analysis'!$F:$F,MATCH($C532,'ABC Analysis'!$A:$A,0)),""))</f>
        <v/>
      </c>
      <c r="F532">
        <f>IF($A532="","",IFERROR(INDEX('Master Inventory'!$E:$E,MATCH($C532,'Master Inventory'!$A:$A,0)),0))</f>
        <v/>
      </c>
      <c r="G532">
        <f>IF($A532="","",'Blind Count Entry'!F530)</f>
        <v/>
      </c>
      <c r="H532">
        <f>IF($A532="","",G532-F532)</f>
        <v/>
      </c>
      <c r="I532" s="17">
        <f>IF($A532="","",IF(F532=0,IF(H532=0,0,1),ABS(H532)/F532))</f>
        <v/>
      </c>
      <c r="J532" s="18">
        <f>IF($A532="","",IF($E532="A",$E$1,IF($E532="B",$G$1,$I$1)))</f>
        <v/>
      </c>
      <c r="K532">
        <f>IF($A532="","",IF(H532=0,"MATCH",IF(I532&gt;J532,"RECOUNT","WITHIN TOLERANCE")))</f>
        <v/>
      </c>
      <c r="L532" s="5" t="n"/>
      <c r="M532">
        <f>IF(OR($A532="",$L532=""),"",L532-F532)</f>
        <v/>
      </c>
      <c r="N532" s="5" t="n"/>
      <c r="O532" s="5" t="n"/>
    </row>
    <row r="533">
      <c r="A533">
        <f>IF('Blind Count Entry'!A531="","",'Blind Count Entry'!A531)</f>
        <v/>
      </c>
      <c r="B533" s="16">
        <f>IF($A533="","",'Blind Count Entry'!B531)</f>
        <v/>
      </c>
      <c r="C533">
        <f>IF($A533="","",'Blind Count Entry'!C531)</f>
        <v/>
      </c>
      <c r="D533">
        <f>IF($A533="","",'Blind Count Entry'!D531)</f>
        <v/>
      </c>
      <c r="E533">
        <f>IF($A533="","",IFERROR(INDEX('ABC Analysis'!$F:$F,MATCH($C533,'ABC Analysis'!$A:$A,0)),""))</f>
        <v/>
      </c>
      <c r="F533">
        <f>IF($A533="","",IFERROR(INDEX('Master Inventory'!$E:$E,MATCH($C533,'Master Inventory'!$A:$A,0)),0))</f>
        <v/>
      </c>
      <c r="G533">
        <f>IF($A533="","",'Blind Count Entry'!F531)</f>
        <v/>
      </c>
      <c r="H533">
        <f>IF($A533="","",G533-F533)</f>
        <v/>
      </c>
      <c r="I533" s="17">
        <f>IF($A533="","",IF(F533=0,IF(H533=0,0,1),ABS(H533)/F533))</f>
        <v/>
      </c>
      <c r="J533" s="18">
        <f>IF($A533="","",IF($E533="A",$E$1,IF($E533="B",$G$1,$I$1)))</f>
        <v/>
      </c>
      <c r="K533">
        <f>IF($A533="","",IF(H533=0,"MATCH",IF(I533&gt;J533,"RECOUNT","WITHIN TOLERANCE")))</f>
        <v/>
      </c>
      <c r="L533" s="5" t="n"/>
      <c r="M533">
        <f>IF(OR($A533="",$L533=""),"",L533-F533)</f>
        <v/>
      </c>
      <c r="N533" s="5" t="n"/>
      <c r="O533" s="5" t="n"/>
    </row>
    <row r="534">
      <c r="A534">
        <f>IF('Blind Count Entry'!A532="","",'Blind Count Entry'!A532)</f>
        <v/>
      </c>
      <c r="B534" s="16">
        <f>IF($A534="","",'Blind Count Entry'!B532)</f>
        <v/>
      </c>
      <c r="C534">
        <f>IF($A534="","",'Blind Count Entry'!C532)</f>
        <v/>
      </c>
      <c r="D534">
        <f>IF($A534="","",'Blind Count Entry'!D532)</f>
        <v/>
      </c>
      <c r="E534">
        <f>IF($A534="","",IFERROR(INDEX('ABC Analysis'!$F:$F,MATCH($C534,'ABC Analysis'!$A:$A,0)),""))</f>
        <v/>
      </c>
      <c r="F534">
        <f>IF($A534="","",IFERROR(INDEX('Master Inventory'!$E:$E,MATCH($C534,'Master Inventory'!$A:$A,0)),0))</f>
        <v/>
      </c>
      <c r="G534">
        <f>IF($A534="","",'Blind Count Entry'!F532)</f>
        <v/>
      </c>
      <c r="H534">
        <f>IF($A534="","",G534-F534)</f>
        <v/>
      </c>
      <c r="I534" s="17">
        <f>IF($A534="","",IF(F534=0,IF(H534=0,0,1),ABS(H534)/F534))</f>
        <v/>
      </c>
      <c r="J534" s="18">
        <f>IF($A534="","",IF($E534="A",$E$1,IF($E534="B",$G$1,$I$1)))</f>
        <v/>
      </c>
      <c r="K534">
        <f>IF($A534="","",IF(H534=0,"MATCH",IF(I534&gt;J534,"RECOUNT","WITHIN TOLERANCE")))</f>
        <v/>
      </c>
      <c r="L534" s="5" t="n"/>
      <c r="M534">
        <f>IF(OR($A534="",$L534=""),"",L534-F534)</f>
        <v/>
      </c>
      <c r="N534" s="5" t="n"/>
      <c r="O534" s="5" t="n"/>
    </row>
    <row r="535">
      <c r="A535">
        <f>IF('Blind Count Entry'!A533="","",'Blind Count Entry'!A533)</f>
        <v/>
      </c>
      <c r="B535" s="16">
        <f>IF($A535="","",'Blind Count Entry'!B533)</f>
        <v/>
      </c>
      <c r="C535">
        <f>IF($A535="","",'Blind Count Entry'!C533)</f>
        <v/>
      </c>
      <c r="D535">
        <f>IF($A535="","",'Blind Count Entry'!D533)</f>
        <v/>
      </c>
      <c r="E535">
        <f>IF($A535="","",IFERROR(INDEX('ABC Analysis'!$F:$F,MATCH($C535,'ABC Analysis'!$A:$A,0)),""))</f>
        <v/>
      </c>
      <c r="F535">
        <f>IF($A535="","",IFERROR(INDEX('Master Inventory'!$E:$E,MATCH($C535,'Master Inventory'!$A:$A,0)),0))</f>
        <v/>
      </c>
      <c r="G535">
        <f>IF($A535="","",'Blind Count Entry'!F533)</f>
        <v/>
      </c>
      <c r="H535">
        <f>IF($A535="","",G535-F535)</f>
        <v/>
      </c>
      <c r="I535" s="17">
        <f>IF($A535="","",IF(F535=0,IF(H535=0,0,1),ABS(H535)/F535))</f>
        <v/>
      </c>
      <c r="J535" s="18">
        <f>IF($A535="","",IF($E535="A",$E$1,IF($E535="B",$G$1,$I$1)))</f>
        <v/>
      </c>
      <c r="K535">
        <f>IF($A535="","",IF(H535=0,"MATCH",IF(I535&gt;J535,"RECOUNT","WITHIN TOLERANCE")))</f>
        <v/>
      </c>
      <c r="L535" s="5" t="n"/>
      <c r="M535">
        <f>IF(OR($A535="",$L535=""),"",L535-F535)</f>
        <v/>
      </c>
      <c r="N535" s="5" t="n"/>
      <c r="O535" s="5" t="n"/>
    </row>
    <row r="536">
      <c r="A536">
        <f>IF('Blind Count Entry'!A534="","",'Blind Count Entry'!A534)</f>
        <v/>
      </c>
      <c r="B536" s="16">
        <f>IF($A536="","",'Blind Count Entry'!B534)</f>
        <v/>
      </c>
      <c r="C536">
        <f>IF($A536="","",'Blind Count Entry'!C534)</f>
        <v/>
      </c>
      <c r="D536">
        <f>IF($A536="","",'Blind Count Entry'!D534)</f>
        <v/>
      </c>
      <c r="E536">
        <f>IF($A536="","",IFERROR(INDEX('ABC Analysis'!$F:$F,MATCH($C536,'ABC Analysis'!$A:$A,0)),""))</f>
        <v/>
      </c>
      <c r="F536">
        <f>IF($A536="","",IFERROR(INDEX('Master Inventory'!$E:$E,MATCH($C536,'Master Inventory'!$A:$A,0)),0))</f>
        <v/>
      </c>
      <c r="G536">
        <f>IF($A536="","",'Blind Count Entry'!F534)</f>
        <v/>
      </c>
      <c r="H536">
        <f>IF($A536="","",G536-F536)</f>
        <v/>
      </c>
      <c r="I536" s="17">
        <f>IF($A536="","",IF(F536=0,IF(H536=0,0,1),ABS(H536)/F536))</f>
        <v/>
      </c>
      <c r="J536" s="18">
        <f>IF($A536="","",IF($E536="A",$E$1,IF($E536="B",$G$1,$I$1)))</f>
        <v/>
      </c>
      <c r="K536">
        <f>IF($A536="","",IF(H536=0,"MATCH",IF(I536&gt;J536,"RECOUNT","WITHIN TOLERANCE")))</f>
        <v/>
      </c>
      <c r="L536" s="5" t="n"/>
      <c r="M536">
        <f>IF(OR($A536="",$L536=""),"",L536-F536)</f>
        <v/>
      </c>
      <c r="N536" s="5" t="n"/>
      <c r="O536" s="5" t="n"/>
    </row>
    <row r="537">
      <c r="A537">
        <f>IF('Blind Count Entry'!A535="","",'Blind Count Entry'!A535)</f>
        <v/>
      </c>
      <c r="B537" s="16">
        <f>IF($A537="","",'Blind Count Entry'!B535)</f>
        <v/>
      </c>
      <c r="C537">
        <f>IF($A537="","",'Blind Count Entry'!C535)</f>
        <v/>
      </c>
      <c r="D537">
        <f>IF($A537="","",'Blind Count Entry'!D535)</f>
        <v/>
      </c>
      <c r="E537">
        <f>IF($A537="","",IFERROR(INDEX('ABC Analysis'!$F:$F,MATCH($C537,'ABC Analysis'!$A:$A,0)),""))</f>
        <v/>
      </c>
      <c r="F537">
        <f>IF($A537="","",IFERROR(INDEX('Master Inventory'!$E:$E,MATCH($C537,'Master Inventory'!$A:$A,0)),0))</f>
        <v/>
      </c>
      <c r="G537">
        <f>IF($A537="","",'Blind Count Entry'!F535)</f>
        <v/>
      </c>
      <c r="H537">
        <f>IF($A537="","",G537-F537)</f>
        <v/>
      </c>
      <c r="I537" s="17">
        <f>IF($A537="","",IF(F537=0,IF(H537=0,0,1),ABS(H537)/F537))</f>
        <v/>
      </c>
      <c r="J537" s="18">
        <f>IF($A537="","",IF($E537="A",$E$1,IF($E537="B",$G$1,$I$1)))</f>
        <v/>
      </c>
      <c r="K537">
        <f>IF($A537="","",IF(H537=0,"MATCH",IF(I537&gt;J537,"RECOUNT","WITHIN TOLERANCE")))</f>
        <v/>
      </c>
      <c r="L537" s="5" t="n"/>
      <c r="M537">
        <f>IF(OR($A537="",$L537=""),"",L537-F537)</f>
        <v/>
      </c>
      <c r="N537" s="5" t="n"/>
      <c r="O537" s="5" t="n"/>
    </row>
    <row r="538">
      <c r="A538">
        <f>IF('Blind Count Entry'!A536="","",'Blind Count Entry'!A536)</f>
        <v/>
      </c>
      <c r="B538" s="16">
        <f>IF($A538="","",'Blind Count Entry'!B536)</f>
        <v/>
      </c>
      <c r="C538">
        <f>IF($A538="","",'Blind Count Entry'!C536)</f>
        <v/>
      </c>
      <c r="D538">
        <f>IF($A538="","",'Blind Count Entry'!D536)</f>
        <v/>
      </c>
      <c r="E538">
        <f>IF($A538="","",IFERROR(INDEX('ABC Analysis'!$F:$F,MATCH($C538,'ABC Analysis'!$A:$A,0)),""))</f>
        <v/>
      </c>
      <c r="F538">
        <f>IF($A538="","",IFERROR(INDEX('Master Inventory'!$E:$E,MATCH($C538,'Master Inventory'!$A:$A,0)),0))</f>
        <v/>
      </c>
      <c r="G538">
        <f>IF($A538="","",'Blind Count Entry'!F536)</f>
        <v/>
      </c>
      <c r="H538">
        <f>IF($A538="","",G538-F538)</f>
        <v/>
      </c>
      <c r="I538" s="17">
        <f>IF($A538="","",IF(F538=0,IF(H538=0,0,1),ABS(H538)/F538))</f>
        <v/>
      </c>
      <c r="J538" s="18">
        <f>IF($A538="","",IF($E538="A",$E$1,IF($E538="B",$G$1,$I$1)))</f>
        <v/>
      </c>
      <c r="K538">
        <f>IF($A538="","",IF(H538=0,"MATCH",IF(I538&gt;J538,"RECOUNT","WITHIN TOLERANCE")))</f>
        <v/>
      </c>
      <c r="L538" s="5" t="n"/>
      <c r="M538">
        <f>IF(OR($A538="",$L538=""),"",L538-F538)</f>
        <v/>
      </c>
      <c r="N538" s="5" t="n"/>
      <c r="O538" s="5" t="n"/>
    </row>
    <row r="539">
      <c r="A539">
        <f>IF('Blind Count Entry'!A537="","",'Blind Count Entry'!A537)</f>
        <v/>
      </c>
      <c r="B539" s="16">
        <f>IF($A539="","",'Blind Count Entry'!B537)</f>
        <v/>
      </c>
      <c r="C539">
        <f>IF($A539="","",'Blind Count Entry'!C537)</f>
        <v/>
      </c>
      <c r="D539">
        <f>IF($A539="","",'Blind Count Entry'!D537)</f>
        <v/>
      </c>
      <c r="E539">
        <f>IF($A539="","",IFERROR(INDEX('ABC Analysis'!$F:$F,MATCH($C539,'ABC Analysis'!$A:$A,0)),""))</f>
        <v/>
      </c>
      <c r="F539">
        <f>IF($A539="","",IFERROR(INDEX('Master Inventory'!$E:$E,MATCH($C539,'Master Inventory'!$A:$A,0)),0))</f>
        <v/>
      </c>
      <c r="G539">
        <f>IF($A539="","",'Blind Count Entry'!F537)</f>
        <v/>
      </c>
      <c r="H539">
        <f>IF($A539="","",G539-F539)</f>
        <v/>
      </c>
      <c r="I539" s="17">
        <f>IF($A539="","",IF(F539=0,IF(H539=0,0,1),ABS(H539)/F539))</f>
        <v/>
      </c>
      <c r="J539" s="18">
        <f>IF($A539="","",IF($E539="A",$E$1,IF($E539="B",$G$1,$I$1)))</f>
        <v/>
      </c>
      <c r="K539">
        <f>IF($A539="","",IF(H539=0,"MATCH",IF(I539&gt;J539,"RECOUNT","WITHIN TOLERANCE")))</f>
        <v/>
      </c>
      <c r="L539" s="5" t="n"/>
      <c r="M539">
        <f>IF(OR($A539="",$L539=""),"",L539-F539)</f>
        <v/>
      </c>
      <c r="N539" s="5" t="n"/>
      <c r="O539" s="5" t="n"/>
    </row>
    <row r="540">
      <c r="A540">
        <f>IF('Blind Count Entry'!A538="","",'Blind Count Entry'!A538)</f>
        <v/>
      </c>
      <c r="B540" s="16">
        <f>IF($A540="","",'Blind Count Entry'!B538)</f>
        <v/>
      </c>
      <c r="C540">
        <f>IF($A540="","",'Blind Count Entry'!C538)</f>
        <v/>
      </c>
      <c r="D540">
        <f>IF($A540="","",'Blind Count Entry'!D538)</f>
        <v/>
      </c>
      <c r="E540">
        <f>IF($A540="","",IFERROR(INDEX('ABC Analysis'!$F:$F,MATCH($C540,'ABC Analysis'!$A:$A,0)),""))</f>
        <v/>
      </c>
      <c r="F540">
        <f>IF($A540="","",IFERROR(INDEX('Master Inventory'!$E:$E,MATCH($C540,'Master Inventory'!$A:$A,0)),0))</f>
        <v/>
      </c>
      <c r="G540">
        <f>IF($A540="","",'Blind Count Entry'!F538)</f>
        <v/>
      </c>
      <c r="H540">
        <f>IF($A540="","",G540-F540)</f>
        <v/>
      </c>
      <c r="I540" s="17">
        <f>IF($A540="","",IF(F540=0,IF(H540=0,0,1),ABS(H540)/F540))</f>
        <v/>
      </c>
      <c r="J540" s="18">
        <f>IF($A540="","",IF($E540="A",$E$1,IF($E540="B",$G$1,$I$1)))</f>
        <v/>
      </c>
      <c r="K540">
        <f>IF($A540="","",IF(H540=0,"MATCH",IF(I540&gt;J540,"RECOUNT","WITHIN TOLERANCE")))</f>
        <v/>
      </c>
      <c r="L540" s="5" t="n"/>
      <c r="M540">
        <f>IF(OR($A540="",$L540=""),"",L540-F540)</f>
        <v/>
      </c>
      <c r="N540" s="5" t="n"/>
      <c r="O540" s="5" t="n"/>
    </row>
    <row r="541">
      <c r="A541">
        <f>IF('Blind Count Entry'!A539="","",'Blind Count Entry'!A539)</f>
        <v/>
      </c>
      <c r="B541" s="16">
        <f>IF($A541="","",'Blind Count Entry'!B539)</f>
        <v/>
      </c>
      <c r="C541">
        <f>IF($A541="","",'Blind Count Entry'!C539)</f>
        <v/>
      </c>
      <c r="D541">
        <f>IF($A541="","",'Blind Count Entry'!D539)</f>
        <v/>
      </c>
      <c r="E541">
        <f>IF($A541="","",IFERROR(INDEX('ABC Analysis'!$F:$F,MATCH($C541,'ABC Analysis'!$A:$A,0)),""))</f>
        <v/>
      </c>
      <c r="F541">
        <f>IF($A541="","",IFERROR(INDEX('Master Inventory'!$E:$E,MATCH($C541,'Master Inventory'!$A:$A,0)),0))</f>
        <v/>
      </c>
      <c r="G541">
        <f>IF($A541="","",'Blind Count Entry'!F539)</f>
        <v/>
      </c>
      <c r="H541">
        <f>IF($A541="","",G541-F541)</f>
        <v/>
      </c>
      <c r="I541" s="17">
        <f>IF($A541="","",IF(F541=0,IF(H541=0,0,1),ABS(H541)/F541))</f>
        <v/>
      </c>
      <c r="J541" s="18">
        <f>IF($A541="","",IF($E541="A",$E$1,IF($E541="B",$G$1,$I$1)))</f>
        <v/>
      </c>
      <c r="K541">
        <f>IF($A541="","",IF(H541=0,"MATCH",IF(I541&gt;J541,"RECOUNT","WITHIN TOLERANCE")))</f>
        <v/>
      </c>
      <c r="L541" s="5" t="n"/>
      <c r="M541">
        <f>IF(OR($A541="",$L541=""),"",L541-F541)</f>
        <v/>
      </c>
      <c r="N541" s="5" t="n"/>
      <c r="O541" s="5" t="n"/>
    </row>
    <row r="542">
      <c r="A542">
        <f>IF('Blind Count Entry'!A540="","",'Blind Count Entry'!A540)</f>
        <v/>
      </c>
      <c r="B542" s="16">
        <f>IF($A542="","",'Blind Count Entry'!B540)</f>
        <v/>
      </c>
      <c r="C542">
        <f>IF($A542="","",'Blind Count Entry'!C540)</f>
        <v/>
      </c>
      <c r="D542">
        <f>IF($A542="","",'Blind Count Entry'!D540)</f>
        <v/>
      </c>
      <c r="E542">
        <f>IF($A542="","",IFERROR(INDEX('ABC Analysis'!$F:$F,MATCH($C542,'ABC Analysis'!$A:$A,0)),""))</f>
        <v/>
      </c>
      <c r="F542">
        <f>IF($A542="","",IFERROR(INDEX('Master Inventory'!$E:$E,MATCH($C542,'Master Inventory'!$A:$A,0)),0))</f>
        <v/>
      </c>
      <c r="G542">
        <f>IF($A542="","",'Blind Count Entry'!F540)</f>
        <v/>
      </c>
      <c r="H542">
        <f>IF($A542="","",G542-F542)</f>
        <v/>
      </c>
      <c r="I542" s="17">
        <f>IF($A542="","",IF(F542=0,IF(H542=0,0,1),ABS(H542)/F542))</f>
        <v/>
      </c>
      <c r="J542" s="18">
        <f>IF($A542="","",IF($E542="A",$E$1,IF($E542="B",$G$1,$I$1)))</f>
        <v/>
      </c>
      <c r="K542">
        <f>IF($A542="","",IF(H542=0,"MATCH",IF(I542&gt;J542,"RECOUNT","WITHIN TOLERANCE")))</f>
        <v/>
      </c>
      <c r="L542" s="5" t="n"/>
      <c r="M542">
        <f>IF(OR($A542="",$L542=""),"",L542-F542)</f>
        <v/>
      </c>
      <c r="N542" s="5" t="n"/>
      <c r="O542" s="5" t="n"/>
    </row>
    <row r="543">
      <c r="A543">
        <f>IF('Blind Count Entry'!A541="","",'Blind Count Entry'!A541)</f>
        <v/>
      </c>
      <c r="B543" s="16">
        <f>IF($A543="","",'Blind Count Entry'!B541)</f>
        <v/>
      </c>
      <c r="C543">
        <f>IF($A543="","",'Blind Count Entry'!C541)</f>
        <v/>
      </c>
      <c r="D543">
        <f>IF($A543="","",'Blind Count Entry'!D541)</f>
        <v/>
      </c>
      <c r="E543">
        <f>IF($A543="","",IFERROR(INDEX('ABC Analysis'!$F:$F,MATCH($C543,'ABC Analysis'!$A:$A,0)),""))</f>
        <v/>
      </c>
      <c r="F543">
        <f>IF($A543="","",IFERROR(INDEX('Master Inventory'!$E:$E,MATCH($C543,'Master Inventory'!$A:$A,0)),0))</f>
        <v/>
      </c>
      <c r="G543">
        <f>IF($A543="","",'Blind Count Entry'!F541)</f>
        <v/>
      </c>
      <c r="H543">
        <f>IF($A543="","",G543-F543)</f>
        <v/>
      </c>
      <c r="I543" s="17">
        <f>IF($A543="","",IF(F543=0,IF(H543=0,0,1),ABS(H543)/F543))</f>
        <v/>
      </c>
      <c r="J543" s="18">
        <f>IF($A543="","",IF($E543="A",$E$1,IF($E543="B",$G$1,$I$1)))</f>
        <v/>
      </c>
      <c r="K543">
        <f>IF($A543="","",IF(H543=0,"MATCH",IF(I543&gt;J543,"RECOUNT","WITHIN TOLERANCE")))</f>
        <v/>
      </c>
      <c r="L543" s="5" t="n"/>
      <c r="M543">
        <f>IF(OR($A543="",$L543=""),"",L543-F543)</f>
        <v/>
      </c>
      <c r="N543" s="5" t="n"/>
      <c r="O543" s="5" t="n"/>
    </row>
    <row r="544">
      <c r="A544">
        <f>IF('Blind Count Entry'!A542="","",'Blind Count Entry'!A542)</f>
        <v/>
      </c>
      <c r="B544" s="16">
        <f>IF($A544="","",'Blind Count Entry'!B542)</f>
        <v/>
      </c>
      <c r="C544">
        <f>IF($A544="","",'Blind Count Entry'!C542)</f>
        <v/>
      </c>
      <c r="D544">
        <f>IF($A544="","",'Blind Count Entry'!D542)</f>
        <v/>
      </c>
      <c r="E544">
        <f>IF($A544="","",IFERROR(INDEX('ABC Analysis'!$F:$F,MATCH($C544,'ABC Analysis'!$A:$A,0)),""))</f>
        <v/>
      </c>
      <c r="F544">
        <f>IF($A544="","",IFERROR(INDEX('Master Inventory'!$E:$E,MATCH($C544,'Master Inventory'!$A:$A,0)),0))</f>
        <v/>
      </c>
      <c r="G544">
        <f>IF($A544="","",'Blind Count Entry'!F542)</f>
        <v/>
      </c>
      <c r="H544">
        <f>IF($A544="","",G544-F544)</f>
        <v/>
      </c>
      <c r="I544" s="17">
        <f>IF($A544="","",IF(F544=0,IF(H544=0,0,1),ABS(H544)/F544))</f>
        <v/>
      </c>
      <c r="J544" s="18">
        <f>IF($A544="","",IF($E544="A",$E$1,IF($E544="B",$G$1,$I$1)))</f>
        <v/>
      </c>
      <c r="K544">
        <f>IF($A544="","",IF(H544=0,"MATCH",IF(I544&gt;J544,"RECOUNT","WITHIN TOLERANCE")))</f>
        <v/>
      </c>
      <c r="L544" s="5" t="n"/>
      <c r="M544">
        <f>IF(OR($A544="",$L544=""),"",L544-F544)</f>
        <v/>
      </c>
      <c r="N544" s="5" t="n"/>
      <c r="O544" s="5" t="n"/>
    </row>
    <row r="545">
      <c r="A545">
        <f>IF('Blind Count Entry'!A543="","",'Blind Count Entry'!A543)</f>
        <v/>
      </c>
      <c r="B545" s="16">
        <f>IF($A545="","",'Blind Count Entry'!B543)</f>
        <v/>
      </c>
      <c r="C545">
        <f>IF($A545="","",'Blind Count Entry'!C543)</f>
        <v/>
      </c>
      <c r="D545">
        <f>IF($A545="","",'Blind Count Entry'!D543)</f>
        <v/>
      </c>
      <c r="E545">
        <f>IF($A545="","",IFERROR(INDEX('ABC Analysis'!$F:$F,MATCH($C545,'ABC Analysis'!$A:$A,0)),""))</f>
        <v/>
      </c>
      <c r="F545">
        <f>IF($A545="","",IFERROR(INDEX('Master Inventory'!$E:$E,MATCH($C545,'Master Inventory'!$A:$A,0)),0))</f>
        <v/>
      </c>
      <c r="G545">
        <f>IF($A545="","",'Blind Count Entry'!F543)</f>
        <v/>
      </c>
      <c r="H545">
        <f>IF($A545="","",G545-F545)</f>
        <v/>
      </c>
      <c r="I545" s="17">
        <f>IF($A545="","",IF(F545=0,IF(H545=0,0,1),ABS(H545)/F545))</f>
        <v/>
      </c>
      <c r="J545" s="18">
        <f>IF($A545="","",IF($E545="A",$E$1,IF($E545="B",$G$1,$I$1)))</f>
        <v/>
      </c>
      <c r="K545">
        <f>IF($A545="","",IF(H545=0,"MATCH",IF(I545&gt;J545,"RECOUNT","WITHIN TOLERANCE")))</f>
        <v/>
      </c>
      <c r="L545" s="5" t="n"/>
      <c r="M545">
        <f>IF(OR($A545="",$L545=""),"",L545-F545)</f>
        <v/>
      </c>
      <c r="N545" s="5" t="n"/>
      <c r="O545" s="5" t="n"/>
    </row>
    <row r="546">
      <c r="A546">
        <f>IF('Blind Count Entry'!A544="","",'Blind Count Entry'!A544)</f>
        <v/>
      </c>
      <c r="B546" s="16">
        <f>IF($A546="","",'Blind Count Entry'!B544)</f>
        <v/>
      </c>
      <c r="C546">
        <f>IF($A546="","",'Blind Count Entry'!C544)</f>
        <v/>
      </c>
      <c r="D546">
        <f>IF($A546="","",'Blind Count Entry'!D544)</f>
        <v/>
      </c>
      <c r="E546">
        <f>IF($A546="","",IFERROR(INDEX('ABC Analysis'!$F:$F,MATCH($C546,'ABC Analysis'!$A:$A,0)),""))</f>
        <v/>
      </c>
      <c r="F546">
        <f>IF($A546="","",IFERROR(INDEX('Master Inventory'!$E:$E,MATCH($C546,'Master Inventory'!$A:$A,0)),0))</f>
        <v/>
      </c>
      <c r="G546">
        <f>IF($A546="","",'Blind Count Entry'!F544)</f>
        <v/>
      </c>
      <c r="H546">
        <f>IF($A546="","",G546-F546)</f>
        <v/>
      </c>
      <c r="I546" s="17">
        <f>IF($A546="","",IF(F546=0,IF(H546=0,0,1),ABS(H546)/F546))</f>
        <v/>
      </c>
      <c r="J546" s="18">
        <f>IF($A546="","",IF($E546="A",$E$1,IF($E546="B",$G$1,$I$1)))</f>
        <v/>
      </c>
      <c r="K546">
        <f>IF($A546="","",IF(H546=0,"MATCH",IF(I546&gt;J546,"RECOUNT","WITHIN TOLERANCE")))</f>
        <v/>
      </c>
      <c r="L546" s="5" t="n"/>
      <c r="M546">
        <f>IF(OR($A546="",$L546=""),"",L546-F546)</f>
        <v/>
      </c>
      <c r="N546" s="5" t="n"/>
      <c r="O546" s="5" t="n"/>
    </row>
    <row r="547">
      <c r="A547">
        <f>IF('Blind Count Entry'!A545="","",'Blind Count Entry'!A545)</f>
        <v/>
      </c>
      <c r="B547" s="16">
        <f>IF($A547="","",'Blind Count Entry'!B545)</f>
        <v/>
      </c>
      <c r="C547">
        <f>IF($A547="","",'Blind Count Entry'!C545)</f>
        <v/>
      </c>
      <c r="D547">
        <f>IF($A547="","",'Blind Count Entry'!D545)</f>
        <v/>
      </c>
      <c r="E547">
        <f>IF($A547="","",IFERROR(INDEX('ABC Analysis'!$F:$F,MATCH($C547,'ABC Analysis'!$A:$A,0)),""))</f>
        <v/>
      </c>
      <c r="F547">
        <f>IF($A547="","",IFERROR(INDEX('Master Inventory'!$E:$E,MATCH($C547,'Master Inventory'!$A:$A,0)),0))</f>
        <v/>
      </c>
      <c r="G547">
        <f>IF($A547="","",'Blind Count Entry'!F545)</f>
        <v/>
      </c>
      <c r="H547">
        <f>IF($A547="","",G547-F547)</f>
        <v/>
      </c>
      <c r="I547" s="17">
        <f>IF($A547="","",IF(F547=0,IF(H547=0,0,1),ABS(H547)/F547))</f>
        <v/>
      </c>
      <c r="J547" s="18">
        <f>IF($A547="","",IF($E547="A",$E$1,IF($E547="B",$G$1,$I$1)))</f>
        <v/>
      </c>
      <c r="K547">
        <f>IF($A547="","",IF(H547=0,"MATCH",IF(I547&gt;J547,"RECOUNT","WITHIN TOLERANCE")))</f>
        <v/>
      </c>
      <c r="L547" s="5" t="n"/>
      <c r="M547">
        <f>IF(OR($A547="",$L547=""),"",L547-F547)</f>
        <v/>
      </c>
      <c r="N547" s="5" t="n"/>
      <c r="O547" s="5" t="n"/>
    </row>
    <row r="548">
      <c r="A548">
        <f>IF('Blind Count Entry'!A546="","",'Blind Count Entry'!A546)</f>
        <v/>
      </c>
      <c r="B548" s="16">
        <f>IF($A548="","",'Blind Count Entry'!B546)</f>
        <v/>
      </c>
      <c r="C548">
        <f>IF($A548="","",'Blind Count Entry'!C546)</f>
        <v/>
      </c>
      <c r="D548">
        <f>IF($A548="","",'Blind Count Entry'!D546)</f>
        <v/>
      </c>
      <c r="E548">
        <f>IF($A548="","",IFERROR(INDEX('ABC Analysis'!$F:$F,MATCH($C548,'ABC Analysis'!$A:$A,0)),""))</f>
        <v/>
      </c>
      <c r="F548">
        <f>IF($A548="","",IFERROR(INDEX('Master Inventory'!$E:$E,MATCH($C548,'Master Inventory'!$A:$A,0)),0))</f>
        <v/>
      </c>
      <c r="G548">
        <f>IF($A548="","",'Blind Count Entry'!F546)</f>
        <v/>
      </c>
      <c r="H548">
        <f>IF($A548="","",G548-F548)</f>
        <v/>
      </c>
      <c r="I548" s="17">
        <f>IF($A548="","",IF(F548=0,IF(H548=0,0,1),ABS(H548)/F548))</f>
        <v/>
      </c>
      <c r="J548" s="18">
        <f>IF($A548="","",IF($E548="A",$E$1,IF($E548="B",$G$1,$I$1)))</f>
        <v/>
      </c>
      <c r="K548">
        <f>IF($A548="","",IF(H548=0,"MATCH",IF(I548&gt;J548,"RECOUNT","WITHIN TOLERANCE")))</f>
        <v/>
      </c>
      <c r="L548" s="5" t="n"/>
      <c r="M548">
        <f>IF(OR($A548="",$L548=""),"",L548-F548)</f>
        <v/>
      </c>
      <c r="N548" s="5" t="n"/>
      <c r="O548" s="5" t="n"/>
    </row>
    <row r="549">
      <c r="A549">
        <f>IF('Blind Count Entry'!A547="","",'Blind Count Entry'!A547)</f>
        <v/>
      </c>
      <c r="B549" s="16">
        <f>IF($A549="","",'Blind Count Entry'!B547)</f>
        <v/>
      </c>
      <c r="C549">
        <f>IF($A549="","",'Blind Count Entry'!C547)</f>
        <v/>
      </c>
      <c r="D549">
        <f>IF($A549="","",'Blind Count Entry'!D547)</f>
        <v/>
      </c>
      <c r="E549">
        <f>IF($A549="","",IFERROR(INDEX('ABC Analysis'!$F:$F,MATCH($C549,'ABC Analysis'!$A:$A,0)),""))</f>
        <v/>
      </c>
      <c r="F549">
        <f>IF($A549="","",IFERROR(INDEX('Master Inventory'!$E:$E,MATCH($C549,'Master Inventory'!$A:$A,0)),0))</f>
        <v/>
      </c>
      <c r="G549">
        <f>IF($A549="","",'Blind Count Entry'!F547)</f>
        <v/>
      </c>
      <c r="H549">
        <f>IF($A549="","",G549-F549)</f>
        <v/>
      </c>
      <c r="I549" s="17">
        <f>IF($A549="","",IF(F549=0,IF(H549=0,0,1),ABS(H549)/F549))</f>
        <v/>
      </c>
      <c r="J549" s="18">
        <f>IF($A549="","",IF($E549="A",$E$1,IF($E549="B",$G$1,$I$1)))</f>
        <v/>
      </c>
      <c r="K549">
        <f>IF($A549="","",IF(H549=0,"MATCH",IF(I549&gt;J549,"RECOUNT","WITHIN TOLERANCE")))</f>
        <v/>
      </c>
      <c r="L549" s="5" t="n"/>
      <c r="M549">
        <f>IF(OR($A549="",$L549=""),"",L549-F549)</f>
        <v/>
      </c>
      <c r="N549" s="5" t="n"/>
      <c r="O549" s="5" t="n"/>
    </row>
    <row r="550">
      <c r="A550">
        <f>IF('Blind Count Entry'!A548="","",'Blind Count Entry'!A548)</f>
        <v/>
      </c>
      <c r="B550" s="16">
        <f>IF($A550="","",'Blind Count Entry'!B548)</f>
        <v/>
      </c>
      <c r="C550">
        <f>IF($A550="","",'Blind Count Entry'!C548)</f>
        <v/>
      </c>
      <c r="D550">
        <f>IF($A550="","",'Blind Count Entry'!D548)</f>
        <v/>
      </c>
      <c r="E550">
        <f>IF($A550="","",IFERROR(INDEX('ABC Analysis'!$F:$F,MATCH($C550,'ABC Analysis'!$A:$A,0)),""))</f>
        <v/>
      </c>
      <c r="F550">
        <f>IF($A550="","",IFERROR(INDEX('Master Inventory'!$E:$E,MATCH($C550,'Master Inventory'!$A:$A,0)),0))</f>
        <v/>
      </c>
      <c r="G550">
        <f>IF($A550="","",'Blind Count Entry'!F548)</f>
        <v/>
      </c>
      <c r="H550">
        <f>IF($A550="","",G550-F550)</f>
        <v/>
      </c>
      <c r="I550" s="17">
        <f>IF($A550="","",IF(F550=0,IF(H550=0,0,1),ABS(H550)/F550))</f>
        <v/>
      </c>
      <c r="J550" s="18">
        <f>IF($A550="","",IF($E550="A",$E$1,IF($E550="B",$G$1,$I$1)))</f>
        <v/>
      </c>
      <c r="K550">
        <f>IF($A550="","",IF(H550=0,"MATCH",IF(I550&gt;J550,"RECOUNT","WITHIN TOLERANCE")))</f>
        <v/>
      </c>
      <c r="L550" s="5" t="n"/>
      <c r="M550">
        <f>IF(OR($A550="",$L550=""),"",L550-F550)</f>
        <v/>
      </c>
      <c r="N550" s="5" t="n"/>
      <c r="O550" s="5" t="n"/>
    </row>
    <row r="551">
      <c r="A551">
        <f>IF('Blind Count Entry'!A549="","",'Blind Count Entry'!A549)</f>
        <v/>
      </c>
      <c r="B551" s="16">
        <f>IF($A551="","",'Blind Count Entry'!B549)</f>
        <v/>
      </c>
      <c r="C551">
        <f>IF($A551="","",'Blind Count Entry'!C549)</f>
        <v/>
      </c>
      <c r="D551">
        <f>IF($A551="","",'Blind Count Entry'!D549)</f>
        <v/>
      </c>
      <c r="E551">
        <f>IF($A551="","",IFERROR(INDEX('ABC Analysis'!$F:$F,MATCH($C551,'ABC Analysis'!$A:$A,0)),""))</f>
        <v/>
      </c>
      <c r="F551">
        <f>IF($A551="","",IFERROR(INDEX('Master Inventory'!$E:$E,MATCH($C551,'Master Inventory'!$A:$A,0)),0))</f>
        <v/>
      </c>
      <c r="G551">
        <f>IF($A551="","",'Blind Count Entry'!F549)</f>
        <v/>
      </c>
      <c r="H551">
        <f>IF($A551="","",G551-F551)</f>
        <v/>
      </c>
      <c r="I551" s="17">
        <f>IF($A551="","",IF(F551=0,IF(H551=0,0,1),ABS(H551)/F551))</f>
        <v/>
      </c>
      <c r="J551" s="18">
        <f>IF($A551="","",IF($E551="A",$E$1,IF($E551="B",$G$1,$I$1)))</f>
        <v/>
      </c>
      <c r="K551">
        <f>IF($A551="","",IF(H551=0,"MATCH",IF(I551&gt;J551,"RECOUNT","WITHIN TOLERANCE")))</f>
        <v/>
      </c>
      <c r="L551" s="5" t="n"/>
      <c r="M551">
        <f>IF(OR($A551="",$L551=""),"",L551-F551)</f>
        <v/>
      </c>
      <c r="N551" s="5" t="n"/>
      <c r="O551" s="5" t="n"/>
    </row>
    <row r="552">
      <c r="A552">
        <f>IF('Blind Count Entry'!A550="","",'Blind Count Entry'!A550)</f>
        <v/>
      </c>
      <c r="B552" s="16">
        <f>IF($A552="","",'Blind Count Entry'!B550)</f>
        <v/>
      </c>
      <c r="C552">
        <f>IF($A552="","",'Blind Count Entry'!C550)</f>
        <v/>
      </c>
      <c r="D552">
        <f>IF($A552="","",'Blind Count Entry'!D550)</f>
        <v/>
      </c>
      <c r="E552">
        <f>IF($A552="","",IFERROR(INDEX('ABC Analysis'!$F:$F,MATCH($C552,'ABC Analysis'!$A:$A,0)),""))</f>
        <v/>
      </c>
      <c r="F552">
        <f>IF($A552="","",IFERROR(INDEX('Master Inventory'!$E:$E,MATCH($C552,'Master Inventory'!$A:$A,0)),0))</f>
        <v/>
      </c>
      <c r="G552">
        <f>IF($A552="","",'Blind Count Entry'!F550)</f>
        <v/>
      </c>
      <c r="H552">
        <f>IF($A552="","",G552-F552)</f>
        <v/>
      </c>
      <c r="I552" s="17">
        <f>IF($A552="","",IF(F552=0,IF(H552=0,0,1),ABS(H552)/F552))</f>
        <v/>
      </c>
      <c r="J552" s="18">
        <f>IF($A552="","",IF($E552="A",$E$1,IF($E552="B",$G$1,$I$1)))</f>
        <v/>
      </c>
      <c r="K552">
        <f>IF($A552="","",IF(H552=0,"MATCH",IF(I552&gt;J552,"RECOUNT","WITHIN TOLERANCE")))</f>
        <v/>
      </c>
      <c r="L552" s="5" t="n"/>
      <c r="M552">
        <f>IF(OR($A552="",$L552=""),"",L552-F552)</f>
        <v/>
      </c>
      <c r="N552" s="5" t="n"/>
      <c r="O552" s="5" t="n"/>
    </row>
    <row r="553">
      <c r="A553">
        <f>IF('Blind Count Entry'!A551="","",'Blind Count Entry'!A551)</f>
        <v/>
      </c>
      <c r="B553" s="16">
        <f>IF($A553="","",'Blind Count Entry'!B551)</f>
        <v/>
      </c>
      <c r="C553">
        <f>IF($A553="","",'Blind Count Entry'!C551)</f>
        <v/>
      </c>
      <c r="D553">
        <f>IF($A553="","",'Blind Count Entry'!D551)</f>
        <v/>
      </c>
      <c r="E553">
        <f>IF($A553="","",IFERROR(INDEX('ABC Analysis'!$F:$F,MATCH($C553,'ABC Analysis'!$A:$A,0)),""))</f>
        <v/>
      </c>
      <c r="F553">
        <f>IF($A553="","",IFERROR(INDEX('Master Inventory'!$E:$E,MATCH($C553,'Master Inventory'!$A:$A,0)),0))</f>
        <v/>
      </c>
      <c r="G553">
        <f>IF($A553="","",'Blind Count Entry'!F551)</f>
        <v/>
      </c>
      <c r="H553">
        <f>IF($A553="","",G553-F553)</f>
        <v/>
      </c>
      <c r="I553" s="17">
        <f>IF($A553="","",IF(F553=0,IF(H553=0,0,1),ABS(H553)/F553))</f>
        <v/>
      </c>
      <c r="J553" s="18">
        <f>IF($A553="","",IF($E553="A",$E$1,IF($E553="B",$G$1,$I$1)))</f>
        <v/>
      </c>
      <c r="K553">
        <f>IF($A553="","",IF(H553=0,"MATCH",IF(I553&gt;J553,"RECOUNT","WITHIN TOLERANCE")))</f>
        <v/>
      </c>
      <c r="L553" s="5" t="n"/>
      <c r="M553">
        <f>IF(OR($A553="",$L553=""),"",L553-F553)</f>
        <v/>
      </c>
      <c r="N553" s="5" t="n"/>
      <c r="O553" s="5" t="n"/>
    </row>
    <row r="554">
      <c r="A554">
        <f>IF('Blind Count Entry'!A552="","",'Blind Count Entry'!A552)</f>
        <v/>
      </c>
      <c r="B554" s="16">
        <f>IF($A554="","",'Blind Count Entry'!B552)</f>
        <v/>
      </c>
      <c r="C554">
        <f>IF($A554="","",'Blind Count Entry'!C552)</f>
        <v/>
      </c>
      <c r="D554">
        <f>IF($A554="","",'Blind Count Entry'!D552)</f>
        <v/>
      </c>
      <c r="E554">
        <f>IF($A554="","",IFERROR(INDEX('ABC Analysis'!$F:$F,MATCH($C554,'ABC Analysis'!$A:$A,0)),""))</f>
        <v/>
      </c>
      <c r="F554">
        <f>IF($A554="","",IFERROR(INDEX('Master Inventory'!$E:$E,MATCH($C554,'Master Inventory'!$A:$A,0)),0))</f>
        <v/>
      </c>
      <c r="G554">
        <f>IF($A554="","",'Blind Count Entry'!F552)</f>
        <v/>
      </c>
      <c r="H554">
        <f>IF($A554="","",G554-F554)</f>
        <v/>
      </c>
      <c r="I554" s="17">
        <f>IF($A554="","",IF(F554=0,IF(H554=0,0,1),ABS(H554)/F554))</f>
        <v/>
      </c>
      <c r="J554" s="18">
        <f>IF($A554="","",IF($E554="A",$E$1,IF($E554="B",$G$1,$I$1)))</f>
        <v/>
      </c>
      <c r="K554">
        <f>IF($A554="","",IF(H554=0,"MATCH",IF(I554&gt;J554,"RECOUNT","WITHIN TOLERANCE")))</f>
        <v/>
      </c>
      <c r="L554" s="5" t="n"/>
      <c r="M554">
        <f>IF(OR($A554="",$L554=""),"",L554-F554)</f>
        <v/>
      </c>
      <c r="N554" s="5" t="n"/>
      <c r="O554" s="5" t="n"/>
    </row>
    <row r="555">
      <c r="A555">
        <f>IF('Blind Count Entry'!A553="","",'Blind Count Entry'!A553)</f>
        <v/>
      </c>
      <c r="B555" s="16">
        <f>IF($A555="","",'Blind Count Entry'!B553)</f>
        <v/>
      </c>
      <c r="C555">
        <f>IF($A555="","",'Blind Count Entry'!C553)</f>
        <v/>
      </c>
      <c r="D555">
        <f>IF($A555="","",'Blind Count Entry'!D553)</f>
        <v/>
      </c>
      <c r="E555">
        <f>IF($A555="","",IFERROR(INDEX('ABC Analysis'!$F:$F,MATCH($C555,'ABC Analysis'!$A:$A,0)),""))</f>
        <v/>
      </c>
      <c r="F555">
        <f>IF($A555="","",IFERROR(INDEX('Master Inventory'!$E:$E,MATCH($C555,'Master Inventory'!$A:$A,0)),0))</f>
        <v/>
      </c>
      <c r="G555">
        <f>IF($A555="","",'Blind Count Entry'!F553)</f>
        <v/>
      </c>
      <c r="H555">
        <f>IF($A555="","",G555-F555)</f>
        <v/>
      </c>
      <c r="I555" s="17">
        <f>IF($A555="","",IF(F555=0,IF(H555=0,0,1),ABS(H555)/F555))</f>
        <v/>
      </c>
      <c r="J555" s="18">
        <f>IF($A555="","",IF($E555="A",$E$1,IF($E555="B",$G$1,$I$1)))</f>
        <v/>
      </c>
      <c r="K555">
        <f>IF($A555="","",IF(H555=0,"MATCH",IF(I555&gt;J555,"RECOUNT","WITHIN TOLERANCE")))</f>
        <v/>
      </c>
      <c r="L555" s="5" t="n"/>
      <c r="M555">
        <f>IF(OR($A555="",$L555=""),"",L555-F555)</f>
        <v/>
      </c>
      <c r="N555" s="5" t="n"/>
      <c r="O555" s="5" t="n"/>
    </row>
    <row r="556">
      <c r="A556">
        <f>IF('Blind Count Entry'!A554="","",'Blind Count Entry'!A554)</f>
        <v/>
      </c>
      <c r="B556" s="16">
        <f>IF($A556="","",'Blind Count Entry'!B554)</f>
        <v/>
      </c>
      <c r="C556">
        <f>IF($A556="","",'Blind Count Entry'!C554)</f>
        <v/>
      </c>
      <c r="D556">
        <f>IF($A556="","",'Blind Count Entry'!D554)</f>
        <v/>
      </c>
      <c r="E556">
        <f>IF($A556="","",IFERROR(INDEX('ABC Analysis'!$F:$F,MATCH($C556,'ABC Analysis'!$A:$A,0)),""))</f>
        <v/>
      </c>
      <c r="F556">
        <f>IF($A556="","",IFERROR(INDEX('Master Inventory'!$E:$E,MATCH($C556,'Master Inventory'!$A:$A,0)),0))</f>
        <v/>
      </c>
      <c r="G556">
        <f>IF($A556="","",'Blind Count Entry'!F554)</f>
        <v/>
      </c>
      <c r="H556">
        <f>IF($A556="","",G556-F556)</f>
        <v/>
      </c>
      <c r="I556" s="17">
        <f>IF($A556="","",IF(F556=0,IF(H556=0,0,1),ABS(H556)/F556))</f>
        <v/>
      </c>
      <c r="J556" s="18">
        <f>IF($A556="","",IF($E556="A",$E$1,IF($E556="B",$G$1,$I$1)))</f>
        <v/>
      </c>
      <c r="K556">
        <f>IF($A556="","",IF(H556=0,"MATCH",IF(I556&gt;J556,"RECOUNT","WITHIN TOLERANCE")))</f>
        <v/>
      </c>
      <c r="L556" s="5" t="n"/>
      <c r="M556">
        <f>IF(OR($A556="",$L556=""),"",L556-F556)</f>
        <v/>
      </c>
      <c r="N556" s="5" t="n"/>
      <c r="O556" s="5" t="n"/>
    </row>
    <row r="557">
      <c r="A557">
        <f>IF('Blind Count Entry'!A555="","",'Blind Count Entry'!A555)</f>
        <v/>
      </c>
      <c r="B557" s="16">
        <f>IF($A557="","",'Blind Count Entry'!B555)</f>
        <v/>
      </c>
      <c r="C557">
        <f>IF($A557="","",'Blind Count Entry'!C555)</f>
        <v/>
      </c>
      <c r="D557">
        <f>IF($A557="","",'Blind Count Entry'!D555)</f>
        <v/>
      </c>
      <c r="E557">
        <f>IF($A557="","",IFERROR(INDEX('ABC Analysis'!$F:$F,MATCH($C557,'ABC Analysis'!$A:$A,0)),""))</f>
        <v/>
      </c>
      <c r="F557">
        <f>IF($A557="","",IFERROR(INDEX('Master Inventory'!$E:$E,MATCH($C557,'Master Inventory'!$A:$A,0)),0))</f>
        <v/>
      </c>
      <c r="G557">
        <f>IF($A557="","",'Blind Count Entry'!F555)</f>
        <v/>
      </c>
      <c r="H557">
        <f>IF($A557="","",G557-F557)</f>
        <v/>
      </c>
      <c r="I557" s="17">
        <f>IF($A557="","",IF(F557=0,IF(H557=0,0,1),ABS(H557)/F557))</f>
        <v/>
      </c>
      <c r="J557" s="18">
        <f>IF($A557="","",IF($E557="A",$E$1,IF($E557="B",$G$1,$I$1)))</f>
        <v/>
      </c>
      <c r="K557">
        <f>IF($A557="","",IF(H557=0,"MATCH",IF(I557&gt;J557,"RECOUNT","WITHIN TOLERANCE")))</f>
        <v/>
      </c>
      <c r="L557" s="5" t="n"/>
      <c r="M557">
        <f>IF(OR($A557="",$L557=""),"",L557-F557)</f>
        <v/>
      </c>
      <c r="N557" s="5" t="n"/>
      <c r="O557" s="5" t="n"/>
    </row>
    <row r="558">
      <c r="A558">
        <f>IF('Blind Count Entry'!A556="","",'Blind Count Entry'!A556)</f>
        <v/>
      </c>
      <c r="B558" s="16">
        <f>IF($A558="","",'Blind Count Entry'!B556)</f>
        <v/>
      </c>
      <c r="C558">
        <f>IF($A558="","",'Blind Count Entry'!C556)</f>
        <v/>
      </c>
      <c r="D558">
        <f>IF($A558="","",'Blind Count Entry'!D556)</f>
        <v/>
      </c>
      <c r="E558">
        <f>IF($A558="","",IFERROR(INDEX('ABC Analysis'!$F:$F,MATCH($C558,'ABC Analysis'!$A:$A,0)),""))</f>
        <v/>
      </c>
      <c r="F558">
        <f>IF($A558="","",IFERROR(INDEX('Master Inventory'!$E:$E,MATCH($C558,'Master Inventory'!$A:$A,0)),0))</f>
        <v/>
      </c>
      <c r="G558">
        <f>IF($A558="","",'Blind Count Entry'!F556)</f>
        <v/>
      </c>
      <c r="H558">
        <f>IF($A558="","",G558-F558)</f>
        <v/>
      </c>
      <c r="I558" s="17">
        <f>IF($A558="","",IF(F558=0,IF(H558=0,0,1),ABS(H558)/F558))</f>
        <v/>
      </c>
      <c r="J558" s="18">
        <f>IF($A558="","",IF($E558="A",$E$1,IF($E558="B",$G$1,$I$1)))</f>
        <v/>
      </c>
      <c r="K558">
        <f>IF($A558="","",IF(H558=0,"MATCH",IF(I558&gt;J558,"RECOUNT","WITHIN TOLERANCE")))</f>
        <v/>
      </c>
      <c r="L558" s="5" t="n"/>
      <c r="M558">
        <f>IF(OR($A558="",$L558=""),"",L558-F558)</f>
        <v/>
      </c>
      <c r="N558" s="5" t="n"/>
      <c r="O558" s="5" t="n"/>
    </row>
    <row r="559">
      <c r="A559">
        <f>IF('Blind Count Entry'!A557="","",'Blind Count Entry'!A557)</f>
        <v/>
      </c>
      <c r="B559" s="16">
        <f>IF($A559="","",'Blind Count Entry'!B557)</f>
        <v/>
      </c>
      <c r="C559">
        <f>IF($A559="","",'Blind Count Entry'!C557)</f>
        <v/>
      </c>
      <c r="D559">
        <f>IF($A559="","",'Blind Count Entry'!D557)</f>
        <v/>
      </c>
      <c r="E559">
        <f>IF($A559="","",IFERROR(INDEX('ABC Analysis'!$F:$F,MATCH($C559,'ABC Analysis'!$A:$A,0)),""))</f>
        <v/>
      </c>
      <c r="F559">
        <f>IF($A559="","",IFERROR(INDEX('Master Inventory'!$E:$E,MATCH($C559,'Master Inventory'!$A:$A,0)),0))</f>
        <v/>
      </c>
      <c r="G559">
        <f>IF($A559="","",'Blind Count Entry'!F557)</f>
        <v/>
      </c>
      <c r="H559">
        <f>IF($A559="","",G559-F559)</f>
        <v/>
      </c>
      <c r="I559" s="17">
        <f>IF($A559="","",IF(F559=0,IF(H559=0,0,1),ABS(H559)/F559))</f>
        <v/>
      </c>
      <c r="J559" s="18">
        <f>IF($A559="","",IF($E559="A",$E$1,IF($E559="B",$G$1,$I$1)))</f>
        <v/>
      </c>
      <c r="K559">
        <f>IF($A559="","",IF(H559=0,"MATCH",IF(I559&gt;J559,"RECOUNT","WITHIN TOLERANCE")))</f>
        <v/>
      </c>
      <c r="L559" s="5" t="n"/>
      <c r="M559">
        <f>IF(OR($A559="",$L559=""),"",L559-F559)</f>
        <v/>
      </c>
      <c r="N559" s="5" t="n"/>
      <c r="O559" s="5" t="n"/>
    </row>
    <row r="560">
      <c r="A560">
        <f>IF('Blind Count Entry'!A558="","",'Blind Count Entry'!A558)</f>
        <v/>
      </c>
      <c r="B560" s="16">
        <f>IF($A560="","",'Blind Count Entry'!B558)</f>
        <v/>
      </c>
      <c r="C560">
        <f>IF($A560="","",'Blind Count Entry'!C558)</f>
        <v/>
      </c>
      <c r="D560">
        <f>IF($A560="","",'Blind Count Entry'!D558)</f>
        <v/>
      </c>
      <c r="E560">
        <f>IF($A560="","",IFERROR(INDEX('ABC Analysis'!$F:$F,MATCH($C560,'ABC Analysis'!$A:$A,0)),""))</f>
        <v/>
      </c>
      <c r="F560">
        <f>IF($A560="","",IFERROR(INDEX('Master Inventory'!$E:$E,MATCH($C560,'Master Inventory'!$A:$A,0)),0))</f>
        <v/>
      </c>
      <c r="G560">
        <f>IF($A560="","",'Blind Count Entry'!F558)</f>
        <v/>
      </c>
      <c r="H560">
        <f>IF($A560="","",G560-F560)</f>
        <v/>
      </c>
      <c r="I560" s="17">
        <f>IF($A560="","",IF(F560=0,IF(H560=0,0,1),ABS(H560)/F560))</f>
        <v/>
      </c>
      <c r="J560" s="18">
        <f>IF($A560="","",IF($E560="A",$E$1,IF($E560="B",$G$1,$I$1)))</f>
        <v/>
      </c>
      <c r="K560">
        <f>IF($A560="","",IF(H560=0,"MATCH",IF(I560&gt;J560,"RECOUNT","WITHIN TOLERANCE")))</f>
        <v/>
      </c>
      <c r="L560" s="5" t="n"/>
      <c r="M560">
        <f>IF(OR($A560="",$L560=""),"",L560-F560)</f>
        <v/>
      </c>
      <c r="N560" s="5" t="n"/>
      <c r="O560" s="5" t="n"/>
    </row>
    <row r="561">
      <c r="A561">
        <f>IF('Blind Count Entry'!A559="","",'Blind Count Entry'!A559)</f>
        <v/>
      </c>
      <c r="B561" s="16">
        <f>IF($A561="","",'Blind Count Entry'!B559)</f>
        <v/>
      </c>
      <c r="C561">
        <f>IF($A561="","",'Blind Count Entry'!C559)</f>
        <v/>
      </c>
      <c r="D561">
        <f>IF($A561="","",'Blind Count Entry'!D559)</f>
        <v/>
      </c>
      <c r="E561">
        <f>IF($A561="","",IFERROR(INDEX('ABC Analysis'!$F:$F,MATCH($C561,'ABC Analysis'!$A:$A,0)),""))</f>
        <v/>
      </c>
      <c r="F561">
        <f>IF($A561="","",IFERROR(INDEX('Master Inventory'!$E:$E,MATCH($C561,'Master Inventory'!$A:$A,0)),0))</f>
        <v/>
      </c>
      <c r="G561">
        <f>IF($A561="","",'Blind Count Entry'!F559)</f>
        <v/>
      </c>
      <c r="H561">
        <f>IF($A561="","",G561-F561)</f>
        <v/>
      </c>
      <c r="I561" s="17">
        <f>IF($A561="","",IF(F561=0,IF(H561=0,0,1),ABS(H561)/F561))</f>
        <v/>
      </c>
      <c r="J561" s="18">
        <f>IF($A561="","",IF($E561="A",$E$1,IF($E561="B",$G$1,$I$1)))</f>
        <v/>
      </c>
      <c r="K561">
        <f>IF($A561="","",IF(H561=0,"MATCH",IF(I561&gt;J561,"RECOUNT","WITHIN TOLERANCE")))</f>
        <v/>
      </c>
      <c r="L561" s="5" t="n"/>
      <c r="M561">
        <f>IF(OR($A561="",$L561=""),"",L561-F561)</f>
        <v/>
      </c>
      <c r="N561" s="5" t="n"/>
      <c r="O561" s="5" t="n"/>
    </row>
    <row r="562">
      <c r="A562">
        <f>IF('Blind Count Entry'!A560="","",'Blind Count Entry'!A560)</f>
        <v/>
      </c>
      <c r="B562" s="16">
        <f>IF($A562="","",'Blind Count Entry'!B560)</f>
        <v/>
      </c>
      <c r="C562">
        <f>IF($A562="","",'Blind Count Entry'!C560)</f>
        <v/>
      </c>
      <c r="D562">
        <f>IF($A562="","",'Blind Count Entry'!D560)</f>
        <v/>
      </c>
      <c r="E562">
        <f>IF($A562="","",IFERROR(INDEX('ABC Analysis'!$F:$F,MATCH($C562,'ABC Analysis'!$A:$A,0)),""))</f>
        <v/>
      </c>
      <c r="F562">
        <f>IF($A562="","",IFERROR(INDEX('Master Inventory'!$E:$E,MATCH($C562,'Master Inventory'!$A:$A,0)),0))</f>
        <v/>
      </c>
      <c r="G562">
        <f>IF($A562="","",'Blind Count Entry'!F560)</f>
        <v/>
      </c>
      <c r="H562">
        <f>IF($A562="","",G562-F562)</f>
        <v/>
      </c>
      <c r="I562" s="17">
        <f>IF($A562="","",IF(F562=0,IF(H562=0,0,1),ABS(H562)/F562))</f>
        <v/>
      </c>
      <c r="J562" s="18">
        <f>IF($A562="","",IF($E562="A",$E$1,IF($E562="B",$G$1,$I$1)))</f>
        <v/>
      </c>
      <c r="K562">
        <f>IF($A562="","",IF(H562=0,"MATCH",IF(I562&gt;J562,"RECOUNT","WITHIN TOLERANCE")))</f>
        <v/>
      </c>
      <c r="L562" s="5" t="n"/>
      <c r="M562">
        <f>IF(OR($A562="",$L562=""),"",L562-F562)</f>
        <v/>
      </c>
      <c r="N562" s="5" t="n"/>
      <c r="O562" s="5" t="n"/>
    </row>
    <row r="563">
      <c r="A563">
        <f>IF('Blind Count Entry'!A561="","",'Blind Count Entry'!A561)</f>
        <v/>
      </c>
      <c r="B563" s="16">
        <f>IF($A563="","",'Blind Count Entry'!B561)</f>
        <v/>
      </c>
      <c r="C563">
        <f>IF($A563="","",'Blind Count Entry'!C561)</f>
        <v/>
      </c>
      <c r="D563">
        <f>IF($A563="","",'Blind Count Entry'!D561)</f>
        <v/>
      </c>
      <c r="E563">
        <f>IF($A563="","",IFERROR(INDEX('ABC Analysis'!$F:$F,MATCH($C563,'ABC Analysis'!$A:$A,0)),""))</f>
        <v/>
      </c>
      <c r="F563">
        <f>IF($A563="","",IFERROR(INDEX('Master Inventory'!$E:$E,MATCH($C563,'Master Inventory'!$A:$A,0)),0))</f>
        <v/>
      </c>
      <c r="G563">
        <f>IF($A563="","",'Blind Count Entry'!F561)</f>
        <v/>
      </c>
      <c r="H563">
        <f>IF($A563="","",G563-F563)</f>
        <v/>
      </c>
      <c r="I563" s="17">
        <f>IF($A563="","",IF(F563=0,IF(H563=0,0,1),ABS(H563)/F563))</f>
        <v/>
      </c>
      <c r="J563" s="18">
        <f>IF($A563="","",IF($E563="A",$E$1,IF($E563="B",$G$1,$I$1)))</f>
        <v/>
      </c>
      <c r="K563">
        <f>IF($A563="","",IF(H563=0,"MATCH",IF(I563&gt;J563,"RECOUNT","WITHIN TOLERANCE")))</f>
        <v/>
      </c>
      <c r="L563" s="5" t="n"/>
      <c r="M563">
        <f>IF(OR($A563="",$L563=""),"",L563-F563)</f>
        <v/>
      </c>
      <c r="N563" s="5" t="n"/>
      <c r="O563" s="5" t="n"/>
    </row>
    <row r="564">
      <c r="A564">
        <f>IF('Blind Count Entry'!A562="","",'Blind Count Entry'!A562)</f>
        <v/>
      </c>
      <c r="B564" s="16">
        <f>IF($A564="","",'Blind Count Entry'!B562)</f>
        <v/>
      </c>
      <c r="C564">
        <f>IF($A564="","",'Blind Count Entry'!C562)</f>
        <v/>
      </c>
      <c r="D564">
        <f>IF($A564="","",'Blind Count Entry'!D562)</f>
        <v/>
      </c>
      <c r="E564">
        <f>IF($A564="","",IFERROR(INDEX('ABC Analysis'!$F:$F,MATCH($C564,'ABC Analysis'!$A:$A,0)),""))</f>
        <v/>
      </c>
      <c r="F564">
        <f>IF($A564="","",IFERROR(INDEX('Master Inventory'!$E:$E,MATCH($C564,'Master Inventory'!$A:$A,0)),0))</f>
        <v/>
      </c>
      <c r="G564">
        <f>IF($A564="","",'Blind Count Entry'!F562)</f>
        <v/>
      </c>
      <c r="H564">
        <f>IF($A564="","",G564-F564)</f>
        <v/>
      </c>
      <c r="I564" s="17">
        <f>IF($A564="","",IF(F564=0,IF(H564=0,0,1),ABS(H564)/F564))</f>
        <v/>
      </c>
      <c r="J564" s="18">
        <f>IF($A564="","",IF($E564="A",$E$1,IF($E564="B",$G$1,$I$1)))</f>
        <v/>
      </c>
      <c r="K564">
        <f>IF($A564="","",IF(H564=0,"MATCH",IF(I564&gt;J564,"RECOUNT","WITHIN TOLERANCE")))</f>
        <v/>
      </c>
      <c r="L564" s="5" t="n"/>
      <c r="M564">
        <f>IF(OR($A564="",$L564=""),"",L564-F564)</f>
        <v/>
      </c>
      <c r="N564" s="5" t="n"/>
      <c r="O564" s="5" t="n"/>
    </row>
    <row r="565">
      <c r="A565">
        <f>IF('Blind Count Entry'!A563="","",'Blind Count Entry'!A563)</f>
        <v/>
      </c>
      <c r="B565" s="16">
        <f>IF($A565="","",'Blind Count Entry'!B563)</f>
        <v/>
      </c>
      <c r="C565">
        <f>IF($A565="","",'Blind Count Entry'!C563)</f>
        <v/>
      </c>
      <c r="D565">
        <f>IF($A565="","",'Blind Count Entry'!D563)</f>
        <v/>
      </c>
      <c r="E565">
        <f>IF($A565="","",IFERROR(INDEX('ABC Analysis'!$F:$F,MATCH($C565,'ABC Analysis'!$A:$A,0)),""))</f>
        <v/>
      </c>
      <c r="F565">
        <f>IF($A565="","",IFERROR(INDEX('Master Inventory'!$E:$E,MATCH($C565,'Master Inventory'!$A:$A,0)),0))</f>
        <v/>
      </c>
      <c r="G565">
        <f>IF($A565="","",'Blind Count Entry'!F563)</f>
        <v/>
      </c>
      <c r="H565">
        <f>IF($A565="","",G565-F565)</f>
        <v/>
      </c>
      <c r="I565" s="17">
        <f>IF($A565="","",IF(F565=0,IF(H565=0,0,1),ABS(H565)/F565))</f>
        <v/>
      </c>
      <c r="J565" s="18">
        <f>IF($A565="","",IF($E565="A",$E$1,IF($E565="B",$G$1,$I$1)))</f>
        <v/>
      </c>
      <c r="K565">
        <f>IF($A565="","",IF(H565=0,"MATCH",IF(I565&gt;J565,"RECOUNT","WITHIN TOLERANCE")))</f>
        <v/>
      </c>
      <c r="L565" s="5" t="n"/>
      <c r="M565">
        <f>IF(OR($A565="",$L565=""),"",L565-F565)</f>
        <v/>
      </c>
      <c r="N565" s="5" t="n"/>
      <c r="O565" s="5" t="n"/>
    </row>
    <row r="566">
      <c r="A566">
        <f>IF('Blind Count Entry'!A564="","",'Blind Count Entry'!A564)</f>
        <v/>
      </c>
      <c r="B566" s="16">
        <f>IF($A566="","",'Blind Count Entry'!B564)</f>
        <v/>
      </c>
      <c r="C566">
        <f>IF($A566="","",'Blind Count Entry'!C564)</f>
        <v/>
      </c>
      <c r="D566">
        <f>IF($A566="","",'Blind Count Entry'!D564)</f>
        <v/>
      </c>
      <c r="E566">
        <f>IF($A566="","",IFERROR(INDEX('ABC Analysis'!$F:$F,MATCH($C566,'ABC Analysis'!$A:$A,0)),""))</f>
        <v/>
      </c>
      <c r="F566">
        <f>IF($A566="","",IFERROR(INDEX('Master Inventory'!$E:$E,MATCH($C566,'Master Inventory'!$A:$A,0)),0))</f>
        <v/>
      </c>
      <c r="G566">
        <f>IF($A566="","",'Blind Count Entry'!F564)</f>
        <v/>
      </c>
      <c r="H566">
        <f>IF($A566="","",G566-F566)</f>
        <v/>
      </c>
      <c r="I566" s="17">
        <f>IF($A566="","",IF(F566=0,IF(H566=0,0,1),ABS(H566)/F566))</f>
        <v/>
      </c>
      <c r="J566" s="18">
        <f>IF($A566="","",IF($E566="A",$E$1,IF($E566="B",$G$1,$I$1)))</f>
        <v/>
      </c>
      <c r="K566">
        <f>IF($A566="","",IF(H566=0,"MATCH",IF(I566&gt;J566,"RECOUNT","WITHIN TOLERANCE")))</f>
        <v/>
      </c>
      <c r="L566" s="5" t="n"/>
      <c r="M566">
        <f>IF(OR($A566="",$L566=""),"",L566-F566)</f>
        <v/>
      </c>
      <c r="N566" s="5" t="n"/>
      <c r="O566" s="5" t="n"/>
    </row>
    <row r="567">
      <c r="A567">
        <f>IF('Blind Count Entry'!A565="","",'Blind Count Entry'!A565)</f>
        <v/>
      </c>
      <c r="B567" s="16">
        <f>IF($A567="","",'Blind Count Entry'!B565)</f>
        <v/>
      </c>
      <c r="C567">
        <f>IF($A567="","",'Blind Count Entry'!C565)</f>
        <v/>
      </c>
      <c r="D567">
        <f>IF($A567="","",'Blind Count Entry'!D565)</f>
        <v/>
      </c>
      <c r="E567">
        <f>IF($A567="","",IFERROR(INDEX('ABC Analysis'!$F:$F,MATCH($C567,'ABC Analysis'!$A:$A,0)),""))</f>
        <v/>
      </c>
      <c r="F567">
        <f>IF($A567="","",IFERROR(INDEX('Master Inventory'!$E:$E,MATCH($C567,'Master Inventory'!$A:$A,0)),0))</f>
        <v/>
      </c>
      <c r="G567">
        <f>IF($A567="","",'Blind Count Entry'!F565)</f>
        <v/>
      </c>
      <c r="H567">
        <f>IF($A567="","",G567-F567)</f>
        <v/>
      </c>
      <c r="I567" s="17">
        <f>IF($A567="","",IF(F567=0,IF(H567=0,0,1),ABS(H567)/F567))</f>
        <v/>
      </c>
      <c r="J567" s="18">
        <f>IF($A567="","",IF($E567="A",$E$1,IF($E567="B",$G$1,$I$1)))</f>
        <v/>
      </c>
      <c r="K567">
        <f>IF($A567="","",IF(H567=0,"MATCH",IF(I567&gt;J567,"RECOUNT","WITHIN TOLERANCE")))</f>
        <v/>
      </c>
      <c r="L567" s="5" t="n"/>
      <c r="M567">
        <f>IF(OR($A567="",$L567=""),"",L567-F567)</f>
        <v/>
      </c>
      <c r="N567" s="5" t="n"/>
      <c r="O567" s="5" t="n"/>
    </row>
    <row r="568">
      <c r="A568">
        <f>IF('Blind Count Entry'!A566="","",'Blind Count Entry'!A566)</f>
        <v/>
      </c>
      <c r="B568" s="16">
        <f>IF($A568="","",'Blind Count Entry'!B566)</f>
        <v/>
      </c>
      <c r="C568">
        <f>IF($A568="","",'Blind Count Entry'!C566)</f>
        <v/>
      </c>
      <c r="D568">
        <f>IF($A568="","",'Blind Count Entry'!D566)</f>
        <v/>
      </c>
      <c r="E568">
        <f>IF($A568="","",IFERROR(INDEX('ABC Analysis'!$F:$F,MATCH($C568,'ABC Analysis'!$A:$A,0)),""))</f>
        <v/>
      </c>
      <c r="F568">
        <f>IF($A568="","",IFERROR(INDEX('Master Inventory'!$E:$E,MATCH($C568,'Master Inventory'!$A:$A,0)),0))</f>
        <v/>
      </c>
      <c r="G568">
        <f>IF($A568="","",'Blind Count Entry'!F566)</f>
        <v/>
      </c>
      <c r="H568">
        <f>IF($A568="","",G568-F568)</f>
        <v/>
      </c>
      <c r="I568" s="17">
        <f>IF($A568="","",IF(F568=0,IF(H568=0,0,1),ABS(H568)/F568))</f>
        <v/>
      </c>
      <c r="J568" s="18">
        <f>IF($A568="","",IF($E568="A",$E$1,IF($E568="B",$G$1,$I$1)))</f>
        <v/>
      </c>
      <c r="K568">
        <f>IF($A568="","",IF(H568=0,"MATCH",IF(I568&gt;J568,"RECOUNT","WITHIN TOLERANCE")))</f>
        <v/>
      </c>
      <c r="L568" s="5" t="n"/>
      <c r="M568">
        <f>IF(OR($A568="",$L568=""),"",L568-F568)</f>
        <v/>
      </c>
      <c r="N568" s="5" t="n"/>
      <c r="O568" s="5" t="n"/>
    </row>
    <row r="569">
      <c r="A569">
        <f>IF('Blind Count Entry'!A567="","",'Blind Count Entry'!A567)</f>
        <v/>
      </c>
      <c r="B569" s="16">
        <f>IF($A569="","",'Blind Count Entry'!B567)</f>
        <v/>
      </c>
      <c r="C569">
        <f>IF($A569="","",'Blind Count Entry'!C567)</f>
        <v/>
      </c>
      <c r="D569">
        <f>IF($A569="","",'Blind Count Entry'!D567)</f>
        <v/>
      </c>
      <c r="E569">
        <f>IF($A569="","",IFERROR(INDEX('ABC Analysis'!$F:$F,MATCH($C569,'ABC Analysis'!$A:$A,0)),""))</f>
        <v/>
      </c>
      <c r="F569">
        <f>IF($A569="","",IFERROR(INDEX('Master Inventory'!$E:$E,MATCH($C569,'Master Inventory'!$A:$A,0)),0))</f>
        <v/>
      </c>
      <c r="G569">
        <f>IF($A569="","",'Blind Count Entry'!F567)</f>
        <v/>
      </c>
      <c r="H569">
        <f>IF($A569="","",G569-F569)</f>
        <v/>
      </c>
      <c r="I569" s="17">
        <f>IF($A569="","",IF(F569=0,IF(H569=0,0,1),ABS(H569)/F569))</f>
        <v/>
      </c>
      <c r="J569" s="18">
        <f>IF($A569="","",IF($E569="A",$E$1,IF($E569="B",$G$1,$I$1)))</f>
        <v/>
      </c>
      <c r="K569">
        <f>IF($A569="","",IF(H569=0,"MATCH",IF(I569&gt;J569,"RECOUNT","WITHIN TOLERANCE")))</f>
        <v/>
      </c>
      <c r="L569" s="5" t="n"/>
      <c r="M569">
        <f>IF(OR($A569="",$L569=""),"",L569-F569)</f>
        <v/>
      </c>
      <c r="N569" s="5" t="n"/>
      <c r="O569" s="5" t="n"/>
    </row>
    <row r="570">
      <c r="A570">
        <f>IF('Blind Count Entry'!A568="","",'Blind Count Entry'!A568)</f>
        <v/>
      </c>
      <c r="B570" s="16">
        <f>IF($A570="","",'Blind Count Entry'!B568)</f>
        <v/>
      </c>
      <c r="C570">
        <f>IF($A570="","",'Blind Count Entry'!C568)</f>
        <v/>
      </c>
      <c r="D570">
        <f>IF($A570="","",'Blind Count Entry'!D568)</f>
        <v/>
      </c>
      <c r="E570">
        <f>IF($A570="","",IFERROR(INDEX('ABC Analysis'!$F:$F,MATCH($C570,'ABC Analysis'!$A:$A,0)),""))</f>
        <v/>
      </c>
      <c r="F570">
        <f>IF($A570="","",IFERROR(INDEX('Master Inventory'!$E:$E,MATCH($C570,'Master Inventory'!$A:$A,0)),0))</f>
        <v/>
      </c>
      <c r="G570">
        <f>IF($A570="","",'Blind Count Entry'!F568)</f>
        <v/>
      </c>
      <c r="H570">
        <f>IF($A570="","",G570-F570)</f>
        <v/>
      </c>
      <c r="I570" s="17">
        <f>IF($A570="","",IF(F570=0,IF(H570=0,0,1),ABS(H570)/F570))</f>
        <v/>
      </c>
      <c r="J570" s="18">
        <f>IF($A570="","",IF($E570="A",$E$1,IF($E570="B",$G$1,$I$1)))</f>
        <v/>
      </c>
      <c r="K570">
        <f>IF($A570="","",IF(H570=0,"MATCH",IF(I570&gt;J570,"RECOUNT","WITHIN TOLERANCE")))</f>
        <v/>
      </c>
      <c r="L570" s="5" t="n"/>
      <c r="M570">
        <f>IF(OR($A570="",$L570=""),"",L570-F570)</f>
        <v/>
      </c>
      <c r="N570" s="5" t="n"/>
      <c r="O570" s="5" t="n"/>
    </row>
    <row r="571">
      <c r="A571">
        <f>IF('Blind Count Entry'!A569="","",'Blind Count Entry'!A569)</f>
        <v/>
      </c>
      <c r="B571" s="16">
        <f>IF($A571="","",'Blind Count Entry'!B569)</f>
        <v/>
      </c>
      <c r="C571">
        <f>IF($A571="","",'Blind Count Entry'!C569)</f>
        <v/>
      </c>
      <c r="D571">
        <f>IF($A571="","",'Blind Count Entry'!D569)</f>
        <v/>
      </c>
      <c r="E571">
        <f>IF($A571="","",IFERROR(INDEX('ABC Analysis'!$F:$F,MATCH($C571,'ABC Analysis'!$A:$A,0)),""))</f>
        <v/>
      </c>
      <c r="F571">
        <f>IF($A571="","",IFERROR(INDEX('Master Inventory'!$E:$E,MATCH($C571,'Master Inventory'!$A:$A,0)),0))</f>
        <v/>
      </c>
      <c r="G571">
        <f>IF($A571="","",'Blind Count Entry'!F569)</f>
        <v/>
      </c>
      <c r="H571">
        <f>IF($A571="","",G571-F571)</f>
        <v/>
      </c>
      <c r="I571" s="17">
        <f>IF($A571="","",IF(F571=0,IF(H571=0,0,1),ABS(H571)/F571))</f>
        <v/>
      </c>
      <c r="J571" s="18">
        <f>IF($A571="","",IF($E571="A",$E$1,IF($E571="B",$G$1,$I$1)))</f>
        <v/>
      </c>
      <c r="K571">
        <f>IF($A571="","",IF(H571=0,"MATCH",IF(I571&gt;J571,"RECOUNT","WITHIN TOLERANCE")))</f>
        <v/>
      </c>
      <c r="L571" s="5" t="n"/>
      <c r="M571">
        <f>IF(OR($A571="",$L571=""),"",L571-F571)</f>
        <v/>
      </c>
      <c r="N571" s="5" t="n"/>
      <c r="O571" s="5" t="n"/>
    </row>
    <row r="572">
      <c r="A572">
        <f>IF('Blind Count Entry'!A570="","",'Blind Count Entry'!A570)</f>
        <v/>
      </c>
      <c r="B572" s="16">
        <f>IF($A572="","",'Blind Count Entry'!B570)</f>
        <v/>
      </c>
      <c r="C572">
        <f>IF($A572="","",'Blind Count Entry'!C570)</f>
        <v/>
      </c>
      <c r="D572">
        <f>IF($A572="","",'Blind Count Entry'!D570)</f>
        <v/>
      </c>
      <c r="E572">
        <f>IF($A572="","",IFERROR(INDEX('ABC Analysis'!$F:$F,MATCH($C572,'ABC Analysis'!$A:$A,0)),""))</f>
        <v/>
      </c>
      <c r="F572">
        <f>IF($A572="","",IFERROR(INDEX('Master Inventory'!$E:$E,MATCH($C572,'Master Inventory'!$A:$A,0)),0))</f>
        <v/>
      </c>
      <c r="G572">
        <f>IF($A572="","",'Blind Count Entry'!F570)</f>
        <v/>
      </c>
      <c r="H572">
        <f>IF($A572="","",G572-F572)</f>
        <v/>
      </c>
      <c r="I572" s="17">
        <f>IF($A572="","",IF(F572=0,IF(H572=0,0,1),ABS(H572)/F572))</f>
        <v/>
      </c>
      <c r="J572" s="18">
        <f>IF($A572="","",IF($E572="A",$E$1,IF($E572="B",$G$1,$I$1)))</f>
        <v/>
      </c>
      <c r="K572">
        <f>IF($A572="","",IF(H572=0,"MATCH",IF(I572&gt;J572,"RECOUNT","WITHIN TOLERANCE")))</f>
        <v/>
      </c>
      <c r="L572" s="5" t="n"/>
      <c r="M572">
        <f>IF(OR($A572="",$L572=""),"",L572-F572)</f>
        <v/>
      </c>
      <c r="N572" s="5" t="n"/>
      <c r="O572" s="5" t="n"/>
    </row>
    <row r="573">
      <c r="A573">
        <f>IF('Blind Count Entry'!A571="","",'Blind Count Entry'!A571)</f>
        <v/>
      </c>
      <c r="B573" s="16">
        <f>IF($A573="","",'Blind Count Entry'!B571)</f>
        <v/>
      </c>
      <c r="C573">
        <f>IF($A573="","",'Blind Count Entry'!C571)</f>
        <v/>
      </c>
      <c r="D573">
        <f>IF($A573="","",'Blind Count Entry'!D571)</f>
        <v/>
      </c>
      <c r="E573">
        <f>IF($A573="","",IFERROR(INDEX('ABC Analysis'!$F:$F,MATCH($C573,'ABC Analysis'!$A:$A,0)),""))</f>
        <v/>
      </c>
      <c r="F573">
        <f>IF($A573="","",IFERROR(INDEX('Master Inventory'!$E:$E,MATCH($C573,'Master Inventory'!$A:$A,0)),0))</f>
        <v/>
      </c>
      <c r="G573">
        <f>IF($A573="","",'Blind Count Entry'!F571)</f>
        <v/>
      </c>
      <c r="H573">
        <f>IF($A573="","",G573-F573)</f>
        <v/>
      </c>
      <c r="I573" s="17">
        <f>IF($A573="","",IF(F573=0,IF(H573=0,0,1),ABS(H573)/F573))</f>
        <v/>
      </c>
      <c r="J573" s="18">
        <f>IF($A573="","",IF($E573="A",$E$1,IF($E573="B",$G$1,$I$1)))</f>
        <v/>
      </c>
      <c r="K573">
        <f>IF($A573="","",IF(H573=0,"MATCH",IF(I573&gt;J573,"RECOUNT","WITHIN TOLERANCE")))</f>
        <v/>
      </c>
      <c r="L573" s="5" t="n"/>
      <c r="M573">
        <f>IF(OR($A573="",$L573=""),"",L573-F573)</f>
        <v/>
      </c>
      <c r="N573" s="5" t="n"/>
      <c r="O573" s="5" t="n"/>
    </row>
    <row r="574">
      <c r="A574">
        <f>IF('Blind Count Entry'!A572="","",'Blind Count Entry'!A572)</f>
        <v/>
      </c>
      <c r="B574" s="16">
        <f>IF($A574="","",'Blind Count Entry'!B572)</f>
        <v/>
      </c>
      <c r="C574">
        <f>IF($A574="","",'Blind Count Entry'!C572)</f>
        <v/>
      </c>
      <c r="D574">
        <f>IF($A574="","",'Blind Count Entry'!D572)</f>
        <v/>
      </c>
      <c r="E574">
        <f>IF($A574="","",IFERROR(INDEX('ABC Analysis'!$F:$F,MATCH($C574,'ABC Analysis'!$A:$A,0)),""))</f>
        <v/>
      </c>
      <c r="F574">
        <f>IF($A574="","",IFERROR(INDEX('Master Inventory'!$E:$E,MATCH($C574,'Master Inventory'!$A:$A,0)),0))</f>
        <v/>
      </c>
      <c r="G574">
        <f>IF($A574="","",'Blind Count Entry'!F572)</f>
        <v/>
      </c>
      <c r="H574">
        <f>IF($A574="","",G574-F574)</f>
        <v/>
      </c>
      <c r="I574" s="17">
        <f>IF($A574="","",IF(F574=0,IF(H574=0,0,1),ABS(H574)/F574))</f>
        <v/>
      </c>
      <c r="J574" s="18">
        <f>IF($A574="","",IF($E574="A",$E$1,IF($E574="B",$G$1,$I$1)))</f>
        <v/>
      </c>
      <c r="K574">
        <f>IF($A574="","",IF(H574=0,"MATCH",IF(I574&gt;J574,"RECOUNT","WITHIN TOLERANCE")))</f>
        <v/>
      </c>
      <c r="L574" s="5" t="n"/>
      <c r="M574">
        <f>IF(OR($A574="",$L574=""),"",L574-F574)</f>
        <v/>
      </c>
      <c r="N574" s="5" t="n"/>
      <c r="O574" s="5" t="n"/>
    </row>
    <row r="575">
      <c r="A575">
        <f>IF('Blind Count Entry'!A573="","",'Blind Count Entry'!A573)</f>
        <v/>
      </c>
      <c r="B575" s="16">
        <f>IF($A575="","",'Blind Count Entry'!B573)</f>
        <v/>
      </c>
      <c r="C575">
        <f>IF($A575="","",'Blind Count Entry'!C573)</f>
        <v/>
      </c>
      <c r="D575">
        <f>IF($A575="","",'Blind Count Entry'!D573)</f>
        <v/>
      </c>
      <c r="E575">
        <f>IF($A575="","",IFERROR(INDEX('ABC Analysis'!$F:$F,MATCH($C575,'ABC Analysis'!$A:$A,0)),""))</f>
        <v/>
      </c>
      <c r="F575">
        <f>IF($A575="","",IFERROR(INDEX('Master Inventory'!$E:$E,MATCH($C575,'Master Inventory'!$A:$A,0)),0))</f>
        <v/>
      </c>
      <c r="G575">
        <f>IF($A575="","",'Blind Count Entry'!F573)</f>
        <v/>
      </c>
      <c r="H575">
        <f>IF($A575="","",G575-F575)</f>
        <v/>
      </c>
      <c r="I575" s="17">
        <f>IF($A575="","",IF(F575=0,IF(H575=0,0,1),ABS(H575)/F575))</f>
        <v/>
      </c>
      <c r="J575" s="18">
        <f>IF($A575="","",IF($E575="A",$E$1,IF($E575="B",$G$1,$I$1)))</f>
        <v/>
      </c>
      <c r="K575">
        <f>IF($A575="","",IF(H575=0,"MATCH",IF(I575&gt;J575,"RECOUNT","WITHIN TOLERANCE")))</f>
        <v/>
      </c>
      <c r="L575" s="5" t="n"/>
      <c r="M575">
        <f>IF(OR($A575="",$L575=""),"",L575-F575)</f>
        <v/>
      </c>
      <c r="N575" s="5" t="n"/>
      <c r="O575" s="5" t="n"/>
    </row>
    <row r="576">
      <c r="A576">
        <f>IF('Blind Count Entry'!A574="","",'Blind Count Entry'!A574)</f>
        <v/>
      </c>
      <c r="B576" s="16">
        <f>IF($A576="","",'Blind Count Entry'!B574)</f>
        <v/>
      </c>
      <c r="C576">
        <f>IF($A576="","",'Blind Count Entry'!C574)</f>
        <v/>
      </c>
      <c r="D576">
        <f>IF($A576="","",'Blind Count Entry'!D574)</f>
        <v/>
      </c>
      <c r="E576">
        <f>IF($A576="","",IFERROR(INDEX('ABC Analysis'!$F:$F,MATCH($C576,'ABC Analysis'!$A:$A,0)),""))</f>
        <v/>
      </c>
      <c r="F576">
        <f>IF($A576="","",IFERROR(INDEX('Master Inventory'!$E:$E,MATCH($C576,'Master Inventory'!$A:$A,0)),0))</f>
        <v/>
      </c>
      <c r="G576">
        <f>IF($A576="","",'Blind Count Entry'!F574)</f>
        <v/>
      </c>
      <c r="H576">
        <f>IF($A576="","",G576-F576)</f>
        <v/>
      </c>
      <c r="I576" s="17">
        <f>IF($A576="","",IF(F576=0,IF(H576=0,0,1),ABS(H576)/F576))</f>
        <v/>
      </c>
      <c r="J576" s="18">
        <f>IF($A576="","",IF($E576="A",$E$1,IF($E576="B",$G$1,$I$1)))</f>
        <v/>
      </c>
      <c r="K576">
        <f>IF($A576="","",IF(H576=0,"MATCH",IF(I576&gt;J576,"RECOUNT","WITHIN TOLERANCE")))</f>
        <v/>
      </c>
      <c r="L576" s="5" t="n"/>
      <c r="M576">
        <f>IF(OR($A576="",$L576=""),"",L576-F576)</f>
        <v/>
      </c>
      <c r="N576" s="5" t="n"/>
      <c r="O576" s="5" t="n"/>
    </row>
    <row r="577">
      <c r="A577">
        <f>IF('Blind Count Entry'!A575="","",'Blind Count Entry'!A575)</f>
        <v/>
      </c>
      <c r="B577" s="16">
        <f>IF($A577="","",'Blind Count Entry'!B575)</f>
        <v/>
      </c>
      <c r="C577">
        <f>IF($A577="","",'Blind Count Entry'!C575)</f>
        <v/>
      </c>
      <c r="D577">
        <f>IF($A577="","",'Blind Count Entry'!D575)</f>
        <v/>
      </c>
      <c r="E577">
        <f>IF($A577="","",IFERROR(INDEX('ABC Analysis'!$F:$F,MATCH($C577,'ABC Analysis'!$A:$A,0)),""))</f>
        <v/>
      </c>
      <c r="F577">
        <f>IF($A577="","",IFERROR(INDEX('Master Inventory'!$E:$E,MATCH($C577,'Master Inventory'!$A:$A,0)),0))</f>
        <v/>
      </c>
      <c r="G577">
        <f>IF($A577="","",'Blind Count Entry'!F575)</f>
        <v/>
      </c>
      <c r="H577">
        <f>IF($A577="","",G577-F577)</f>
        <v/>
      </c>
      <c r="I577" s="17">
        <f>IF($A577="","",IF(F577=0,IF(H577=0,0,1),ABS(H577)/F577))</f>
        <v/>
      </c>
      <c r="J577" s="18">
        <f>IF($A577="","",IF($E577="A",$E$1,IF($E577="B",$G$1,$I$1)))</f>
        <v/>
      </c>
      <c r="K577">
        <f>IF($A577="","",IF(H577=0,"MATCH",IF(I577&gt;J577,"RECOUNT","WITHIN TOLERANCE")))</f>
        <v/>
      </c>
      <c r="L577" s="5" t="n"/>
      <c r="M577">
        <f>IF(OR($A577="",$L577=""),"",L577-F577)</f>
        <v/>
      </c>
      <c r="N577" s="5" t="n"/>
      <c r="O577" s="5" t="n"/>
    </row>
    <row r="578">
      <c r="A578">
        <f>IF('Blind Count Entry'!A576="","",'Blind Count Entry'!A576)</f>
        <v/>
      </c>
      <c r="B578" s="16">
        <f>IF($A578="","",'Blind Count Entry'!B576)</f>
        <v/>
      </c>
      <c r="C578">
        <f>IF($A578="","",'Blind Count Entry'!C576)</f>
        <v/>
      </c>
      <c r="D578">
        <f>IF($A578="","",'Blind Count Entry'!D576)</f>
        <v/>
      </c>
      <c r="E578">
        <f>IF($A578="","",IFERROR(INDEX('ABC Analysis'!$F:$F,MATCH($C578,'ABC Analysis'!$A:$A,0)),""))</f>
        <v/>
      </c>
      <c r="F578">
        <f>IF($A578="","",IFERROR(INDEX('Master Inventory'!$E:$E,MATCH($C578,'Master Inventory'!$A:$A,0)),0))</f>
        <v/>
      </c>
      <c r="G578">
        <f>IF($A578="","",'Blind Count Entry'!F576)</f>
        <v/>
      </c>
      <c r="H578">
        <f>IF($A578="","",G578-F578)</f>
        <v/>
      </c>
      <c r="I578" s="17">
        <f>IF($A578="","",IF(F578=0,IF(H578=0,0,1),ABS(H578)/F578))</f>
        <v/>
      </c>
      <c r="J578" s="18">
        <f>IF($A578="","",IF($E578="A",$E$1,IF($E578="B",$G$1,$I$1)))</f>
        <v/>
      </c>
      <c r="K578">
        <f>IF($A578="","",IF(H578=0,"MATCH",IF(I578&gt;J578,"RECOUNT","WITHIN TOLERANCE")))</f>
        <v/>
      </c>
      <c r="L578" s="5" t="n"/>
      <c r="M578">
        <f>IF(OR($A578="",$L578=""),"",L578-F578)</f>
        <v/>
      </c>
      <c r="N578" s="5" t="n"/>
      <c r="O578" s="5" t="n"/>
    </row>
    <row r="579">
      <c r="A579">
        <f>IF('Blind Count Entry'!A577="","",'Blind Count Entry'!A577)</f>
        <v/>
      </c>
      <c r="B579" s="16">
        <f>IF($A579="","",'Blind Count Entry'!B577)</f>
        <v/>
      </c>
      <c r="C579">
        <f>IF($A579="","",'Blind Count Entry'!C577)</f>
        <v/>
      </c>
      <c r="D579">
        <f>IF($A579="","",'Blind Count Entry'!D577)</f>
        <v/>
      </c>
      <c r="E579">
        <f>IF($A579="","",IFERROR(INDEX('ABC Analysis'!$F:$F,MATCH($C579,'ABC Analysis'!$A:$A,0)),""))</f>
        <v/>
      </c>
      <c r="F579">
        <f>IF($A579="","",IFERROR(INDEX('Master Inventory'!$E:$E,MATCH($C579,'Master Inventory'!$A:$A,0)),0))</f>
        <v/>
      </c>
      <c r="G579">
        <f>IF($A579="","",'Blind Count Entry'!F577)</f>
        <v/>
      </c>
      <c r="H579">
        <f>IF($A579="","",G579-F579)</f>
        <v/>
      </c>
      <c r="I579" s="17">
        <f>IF($A579="","",IF(F579=0,IF(H579=0,0,1),ABS(H579)/F579))</f>
        <v/>
      </c>
      <c r="J579" s="18">
        <f>IF($A579="","",IF($E579="A",$E$1,IF($E579="B",$G$1,$I$1)))</f>
        <v/>
      </c>
      <c r="K579">
        <f>IF($A579="","",IF(H579=0,"MATCH",IF(I579&gt;J579,"RECOUNT","WITHIN TOLERANCE")))</f>
        <v/>
      </c>
      <c r="L579" s="5" t="n"/>
      <c r="M579">
        <f>IF(OR($A579="",$L579=""),"",L579-F579)</f>
        <v/>
      </c>
      <c r="N579" s="5" t="n"/>
      <c r="O579" s="5" t="n"/>
    </row>
    <row r="580">
      <c r="A580">
        <f>IF('Blind Count Entry'!A578="","",'Blind Count Entry'!A578)</f>
        <v/>
      </c>
      <c r="B580" s="16">
        <f>IF($A580="","",'Blind Count Entry'!B578)</f>
        <v/>
      </c>
      <c r="C580">
        <f>IF($A580="","",'Blind Count Entry'!C578)</f>
        <v/>
      </c>
      <c r="D580">
        <f>IF($A580="","",'Blind Count Entry'!D578)</f>
        <v/>
      </c>
      <c r="E580">
        <f>IF($A580="","",IFERROR(INDEX('ABC Analysis'!$F:$F,MATCH($C580,'ABC Analysis'!$A:$A,0)),""))</f>
        <v/>
      </c>
      <c r="F580">
        <f>IF($A580="","",IFERROR(INDEX('Master Inventory'!$E:$E,MATCH($C580,'Master Inventory'!$A:$A,0)),0))</f>
        <v/>
      </c>
      <c r="G580">
        <f>IF($A580="","",'Blind Count Entry'!F578)</f>
        <v/>
      </c>
      <c r="H580">
        <f>IF($A580="","",G580-F580)</f>
        <v/>
      </c>
      <c r="I580" s="17">
        <f>IF($A580="","",IF(F580=0,IF(H580=0,0,1),ABS(H580)/F580))</f>
        <v/>
      </c>
      <c r="J580" s="18">
        <f>IF($A580="","",IF($E580="A",$E$1,IF($E580="B",$G$1,$I$1)))</f>
        <v/>
      </c>
      <c r="K580">
        <f>IF($A580="","",IF(H580=0,"MATCH",IF(I580&gt;J580,"RECOUNT","WITHIN TOLERANCE")))</f>
        <v/>
      </c>
      <c r="L580" s="5" t="n"/>
      <c r="M580">
        <f>IF(OR($A580="",$L580=""),"",L580-F580)</f>
        <v/>
      </c>
      <c r="N580" s="5" t="n"/>
      <c r="O580" s="5" t="n"/>
    </row>
    <row r="581">
      <c r="A581">
        <f>IF('Blind Count Entry'!A579="","",'Blind Count Entry'!A579)</f>
        <v/>
      </c>
      <c r="B581" s="16">
        <f>IF($A581="","",'Blind Count Entry'!B579)</f>
        <v/>
      </c>
      <c r="C581">
        <f>IF($A581="","",'Blind Count Entry'!C579)</f>
        <v/>
      </c>
      <c r="D581">
        <f>IF($A581="","",'Blind Count Entry'!D579)</f>
        <v/>
      </c>
      <c r="E581">
        <f>IF($A581="","",IFERROR(INDEX('ABC Analysis'!$F:$F,MATCH($C581,'ABC Analysis'!$A:$A,0)),""))</f>
        <v/>
      </c>
      <c r="F581">
        <f>IF($A581="","",IFERROR(INDEX('Master Inventory'!$E:$E,MATCH($C581,'Master Inventory'!$A:$A,0)),0))</f>
        <v/>
      </c>
      <c r="G581">
        <f>IF($A581="","",'Blind Count Entry'!F579)</f>
        <v/>
      </c>
      <c r="H581">
        <f>IF($A581="","",G581-F581)</f>
        <v/>
      </c>
      <c r="I581" s="17">
        <f>IF($A581="","",IF(F581=0,IF(H581=0,0,1),ABS(H581)/F581))</f>
        <v/>
      </c>
      <c r="J581" s="18">
        <f>IF($A581="","",IF($E581="A",$E$1,IF($E581="B",$G$1,$I$1)))</f>
        <v/>
      </c>
      <c r="K581">
        <f>IF($A581="","",IF(H581=0,"MATCH",IF(I581&gt;J581,"RECOUNT","WITHIN TOLERANCE")))</f>
        <v/>
      </c>
      <c r="L581" s="5" t="n"/>
      <c r="M581">
        <f>IF(OR($A581="",$L581=""),"",L581-F581)</f>
        <v/>
      </c>
      <c r="N581" s="5" t="n"/>
      <c r="O581" s="5" t="n"/>
    </row>
    <row r="582">
      <c r="A582">
        <f>IF('Blind Count Entry'!A580="","",'Blind Count Entry'!A580)</f>
        <v/>
      </c>
      <c r="B582" s="16">
        <f>IF($A582="","",'Blind Count Entry'!B580)</f>
        <v/>
      </c>
      <c r="C582">
        <f>IF($A582="","",'Blind Count Entry'!C580)</f>
        <v/>
      </c>
      <c r="D582">
        <f>IF($A582="","",'Blind Count Entry'!D580)</f>
        <v/>
      </c>
      <c r="E582">
        <f>IF($A582="","",IFERROR(INDEX('ABC Analysis'!$F:$F,MATCH($C582,'ABC Analysis'!$A:$A,0)),""))</f>
        <v/>
      </c>
      <c r="F582">
        <f>IF($A582="","",IFERROR(INDEX('Master Inventory'!$E:$E,MATCH($C582,'Master Inventory'!$A:$A,0)),0))</f>
        <v/>
      </c>
      <c r="G582">
        <f>IF($A582="","",'Blind Count Entry'!F580)</f>
        <v/>
      </c>
      <c r="H582">
        <f>IF($A582="","",G582-F582)</f>
        <v/>
      </c>
      <c r="I582" s="17">
        <f>IF($A582="","",IF(F582=0,IF(H582=0,0,1),ABS(H582)/F582))</f>
        <v/>
      </c>
      <c r="J582" s="18">
        <f>IF($A582="","",IF($E582="A",$E$1,IF($E582="B",$G$1,$I$1)))</f>
        <v/>
      </c>
      <c r="K582">
        <f>IF($A582="","",IF(H582=0,"MATCH",IF(I582&gt;J582,"RECOUNT","WITHIN TOLERANCE")))</f>
        <v/>
      </c>
      <c r="L582" s="5" t="n"/>
      <c r="M582">
        <f>IF(OR($A582="",$L582=""),"",L582-F582)</f>
        <v/>
      </c>
      <c r="N582" s="5" t="n"/>
      <c r="O582" s="5" t="n"/>
    </row>
    <row r="583">
      <c r="A583">
        <f>IF('Blind Count Entry'!A581="","",'Blind Count Entry'!A581)</f>
        <v/>
      </c>
      <c r="B583" s="16">
        <f>IF($A583="","",'Blind Count Entry'!B581)</f>
        <v/>
      </c>
      <c r="C583">
        <f>IF($A583="","",'Blind Count Entry'!C581)</f>
        <v/>
      </c>
      <c r="D583">
        <f>IF($A583="","",'Blind Count Entry'!D581)</f>
        <v/>
      </c>
      <c r="E583">
        <f>IF($A583="","",IFERROR(INDEX('ABC Analysis'!$F:$F,MATCH($C583,'ABC Analysis'!$A:$A,0)),""))</f>
        <v/>
      </c>
      <c r="F583">
        <f>IF($A583="","",IFERROR(INDEX('Master Inventory'!$E:$E,MATCH($C583,'Master Inventory'!$A:$A,0)),0))</f>
        <v/>
      </c>
      <c r="G583">
        <f>IF($A583="","",'Blind Count Entry'!F581)</f>
        <v/>
      </c>
      <c r="H583">
        <f>IF($A583="","",G583-F583)</f>
        <v/>
      </c>
      <c r="I583" s="17">
        <f>IF($A583="","",IF(F583=0,IF(H583=0,0,1),ABS(H583)/F583))</f>
        <v/>
      </c>
      <c r="J583" s="18">
        <f>IF($A583="","",IF($E583="A",$E$1,IF($E583="B",$G$1,$I$1)))</f>
        <v/>
      </c>
      <c r="K583">
        <f>IF($A583="","",IF(H583=0,"MATCH",IF(I583&gt;J583,"RECOUNT","WITHIN TOLERANCE")))</f>
        <v/>
      </c>
      <c r="L583" s="5" t="n"/>
      <c r="M583">
        <f>IF(OR($A583="",$L583=""),"",L583-F583)</f>
        <v/>
      </c>
      <c r="N583" s="5" t="n"/>
      <c r="O583" s="5" t="n"/>
    </row>
    <row r="584">
      <c r="A584">
        <f>IF('Blind Count Entry'!A582="","",'Blind Count Entry'!A582)</f>
        <v/>
      </c>
      <c r="B584" s="16">
        <f>IF($A584="","",'Blind Count Entry'!B582)</f>
        <v/>
      </c>
      <c r="C584">
        <f>IF($A584="","",'Blind Count Entry'!C582)</f>
        <v/>
      </c>
      <c r="D584">
        <f>IF($A584="","",'Blind Count Entry'!D582)</f>
        <v/>
      </c>
      <c r="E584">
        <f>IF($A584="","",IFERROR(INDEX('ABC Analysis'!$F:$F,MATCH($C584,'ABC Analysis'!$A:$A,0)),""))</f>
        <v/>
      </c>
      <c r="F584">
        <f>IF($A584="","",IFERROR(INDEX('Master Inventory'!$E:$E,MATCH($C584,'Master Inventory'!$A:$A,0)),0))</f>
        <v/>
      </c>
      <c r="G584">
        <f>IF($A584="","",'Blind Count Entry'!F582)</f>
        <v/>
      </c>
      <c r="H584">
        <f>IF($A584="","",G584-F584)</f>
        <v/>
      </c>
      <c r="I584" s="17">
        <f>IF($A584="","",IF(F584=0,IF(H584=0,0,1),ABS(H584)/F584))</f>
        <v/>
      </c>
      <c r="J584" s="18">
        <f>IF($A584="","",IF($E584="A",$E$1,IF($E584="B",$G$1,$I$1)))</f>
        <v/>
      </c>
      <c r="K584">
        <f>IF($A584="","",IF(H584=0,"MATCH",IF(I584&gt;J584,"RECOUNT","WITHIN TOLERANCE")))</f>
        <v/>
      </c>
      <c r="L584" s="5" t="n"/>
      <c r="M584">
        <f>IF(OR($A584="",$L584=""),"",L584-F584)</f>
        <v/>
      </c>
      <c r="N584" s="5" t="n"/>
      <c r="O584" s="5" t="n"/>
    </row>
    <row r="585">
      <c r="A585">
        <f>IF('Blind Count Entry'!A583="","",'Blind Count Entry'!A583)</f>
        <v/>
      </c>
      <c r="B585" s="16">
        <f>IF($A585="","",'Blind Count Entry'!B583)</f>
        <v/>
      </c>
      <c r="C585">
        <f>IF($A585="","",'Blind Count Entry'!C583)</f>
        <v/>
      </c>
      <c r="D585">
        <f>IF($A585="","",'Blind Count Entry'!D583)</f>
        <v/>
      </c>
      <c r="E585">
        <f>IF($A585="","",IFERROR(INDEX('ABC Analysis'!$F:$F,MATCH($C585,'ABC Analysis'!$A:$A,0)),""))</f>
        <v/>
      </c>
      <c r="F585">
        <f>IF($A585="","",IFERROR(INDEX('Master Inventory'!$E:$E,MATCH($C585,'Master Inventory'!$A:$A,0)),0))</f>
        <v/>
      </c>
      <c r="G585">
        <f>IF($A585="","",'Blind Count Entry'!F583)</f>
        <v/>
      </c>
      <c r="H585">
        <f>IF($A585="","",G585-F585)</f>
        <v/>
      </c>
      <c r="I585" s="17">
        <f>IF($A585="","",IF(F585=0,IF(H585=0,0,1),ABS(H585)/F585))</f>
        <v/>
      </c>
      <c r="J585" s="18">
        <f>IF($A585="","",IF($E585="A",$E$1,IF($E585="B",$G$1,$I$1)))</f>
        <v/>
      </c>
      <c r="K585">
        <f>IF($A585="","",IF(H585=0,"MATCH",IF(I585&gt;J585,"RECOUNT","WITHIN TOLERANCE")))</f>
        <v/>
      </c>
      <c r="L585" s="5" t="n"/>
      <c r="M585">
        <f>IF(OR($A585="",$L585=""),"",L585-F585)</f>
        <v/>
      </c>
      <c r="N585" s="5" t="n"/>
      <c r="O585" s="5" t="n"/>
    </row>
    <row r="586">
      <c r="A586">
        <f>IF('Blind Count Entry'!A584="","",'Blind Count Entry'!A584)</f>
        <v/>
      </c>
      <c r="B586" s="16">
        <f>IF($A586="","",'Blind Count Entry'!B584)</f>
        <v/>
      </c>
      <c r="C586">
        <f>IF($A586="","",'Blind Count Entry'!C584)</f>
        <v/>
      </c>
      <c r="D586">
        <f>IF($A586="","",'Blind Count Entry'!D584)</f>
        <v/>
      </c>
      <c r="E586">
        <f>IF($A586="","",IFERROR(INDEX('ABC Analysis'!$F:$F,MATCH($C586,'ABC Analysis'!$A:$A,0)),""))</f>
        <v/>
      </c>
      <c r="F586">
        <f>IF($A586="","",IFERROR(INDEX('Master Inventory'!$E:$E,MATCH($C586,'Master Inventory'!$A:$A,0)),0))</f>
        <v/>
      </c>
      <c r="G586">
        <f>IF($A586="","",'Blind Count Entry'!F584)</f>
        <v/>
      </c>
      <c r="H586">
        <f>IF($A586="","",G586-F586)</f>
        <v/>
      </c>
      <c r="I586" s="17">
        <f>IF($A586="","",IF(F586=0,IF(H586=0,0,1),ABS(H586)/F586))</f>
        <v/>
      </c>
      <c r="J586" s="18">
        <f>IF($A586="","",IF($E586="A",$E$1,IF($E586="B",$G$1,$I$1)))</f>
        <v/>
      </c>
      <c r="K586">
        <f>IF($A586="","",IF(H586=0,"MATCH",IF(I586&gt;J586,"RECOUNT","WITHIN TOLERANCE")))</f>
        <v/>
      </c>
      <c r="L586" s="5" t="n"/>
      <c r="M586">
        <f>IF(OR($A586="",$L586=""),"",L586-F586)</f>
        <v/>
      </c>
      <c r="N586" s="5" t="n"/>
      <c r="O586" s="5" t="n"/>
    </row>
    <row r="587">
      <c r="A587">
        <f>IF('Blind Count Entry'!A585="","",'Blind Count Entry'!A585)</f>
        <v/>
      </c>
      <c r="B587" s="16">
        <f>IF($A587="","",'Blind Count Entry'!B585)</f>
        <v/>
      </c>
      <c r="C587">
        <f>IF($A587="","",'Blind Count Entry'!C585)</f>
        <v/>
      </c>
      <c r="D587">
        <f>IF($A587="","",'Blind Count Entry'!D585)</f>
        <v/>
      </c>
      <c r="E587">
        <f>IF($A587="","",IFERROR(INDEX('ABC Analysis'!$F:$F,MATCH($C587,'ABC Analysis'!$A:$A,0)),""))</f>
        <v/>
      </c>
      <c r="F587">
        <f>IF($A587="","",IFERROR(INDEX('Master Inventory'!$E:$E,MATCH($C587,'Master Inventory'!$A:$A,0)),0))</f>
        <v/>
      </c>
      <c r="G587">
        <f>IF($A587="","",'Blind Count Entry'!F585)</f>
        <v/>
      </c>
      <c r="H587">
        <f>IF($A587="","",G587-F587)</f>
        <v/>
      </c>
      <c r="I587" s="17">
        <f>IF($A587="","",IF(F587=0,IF(H587=0,0,1),ABS(H587)/F587))</f>
        <v/>
      </c>
      <c r="J587" s="18">
        <f>IF($A587="","",IF($E587="A",$E$1,IF($E587="B",$G$1,$I$1)))</f>
        <v/>
      </c>
      <c r="K587">
        <f>IF($A587="","",IF(H587=0,"MATCH",IF(I587&gt;J587,"RECOUNT","WITHIN TOLERANCE")))</f>
        <v/>
      </c>
      <c r="L587" s="5" t="n"/>
      <c r="M587">
        <f>IF(OR($A587="",$L587=""),"",L587-F587)</f>
        <v/>
      </c>
      <c r="N587" s="5" t="n"/>
      <c r="O587" s="5" t="n"/>
    </row>
    <row r="588">
      <c r="A588">
        <f>IF('Blind Count Entry'!A586="","",'Blind Count Entry'!A586)</f>
        <v/>
      </c>
      <c r="B588" s="16">
        <f>IF($A588="","",'Blind Count Entry'!B586)</f>
        <v/>
      </c>
      <c r="C588">
        <f>IF($A588="","",'Blind Count Entry'!C586)</f>
        <v/>
      </c>
      <c r="D588">
        <f>IF($A588="","",'Blind Count Entry'!D586)</f>
        <v/>
      </c>
      <c r="E588">
        <f>IF($A588="","",IFERROR(INDEX('ABC Analysis'!$F:$F,MATCH($C588,'ABC Analysis'!$A:$A,0)),""))</f>
        <v/>
      </c>
      <c r="F588">
        <f>IF($A588="","",IFERROR(INDEX('Master Inventory'!$E:$E,MATCH($C588,'Master Inventory'!$A:$A,0)),0))</f>
        <v/>
      </c>
      <c r="G588">
        <f>IF($A588="","",'Blind Count Entry'!F586)</f>
        <v/>
      </c>
      <c r="H588">
        <f>IF($A588="","",G588-F588)</f>
        <v/>
      </c>
      <c r="I588" s="17">
        <f>IF($A588="","",IF(F588=0,IF(H588=0,0,1),ABS(H588)/F588))</f>
        <v/>
      </c>
      <c r="J588" s="18">
        <f>IF($A588="","",IF($E588="A",$E$1,IF($E588="B",$G$1,$I$1)))</f>
        <v/>
      </c>
      <c r="K588">
        <f>IF($A588="","",IF(H588=0,"MATCH",IF(I588&gt;J588,"RECOUNT","WITHIN TOLERANCE")))</f>
        <v/>
      </c>
      <c r="L588" s="5" t="n"/>
      <c r="M588">
        <f>IF(OR($A588="",$L588=""),"",L588-F588)</f>
        <v/>
      </c>
      <c r="N588" s="5" t="n"/>
      <c r="O588" s="5" t="n"/>
    </row>
    <row r="589">
      <c r="A589">
        <f>IF('Blind Count Entry'!A587="","",'Blind Count Entry'!A587)</f>
        <v/>
      </c>
      <c r="B589" s="16">
        <f>IF($A589="","",'Blind Count Entry'!B587)</f>
        <v/>
      </c>
      <c r="C589">
        <f>IF($A589="","",'Blind Count Entry'!C587)</f>
        <v/>
      </c>
      <c r="D589">
        <f>IF($A589="","",'Blind Count Entry'!D587)</f>
        <v/>
      </c>
      <c r="E589">
        <f>IF($A589="","",IFERROR(INDEX('ABC Analysis'!$F:$F,MATCH($C589,'ABC Analysis'!$A:$A,0)),""))</f>
        <v/>
      </c>
      <c r="F589">
        <f>IF($A589="","",IFERROR(INDEX('Master Inventory'!$E:$E,MATCH($C589,'Master Inventory'!$A:$A,0)),0))</f>
        <v/>
      </c>
      <c r="G589">
        <f>IF($A589="","",'Blind Count Entry'!F587)</f>
        <v/>
      </c>
      <c r="H589">
        <f>IF($A589="","",G589-F589)</f>
        <v/>
      </c>
      <c r="I589" s="17">
        <f>IF($A589="","",IF(F589=0,IF(H589=0,0,1),ABS(H589)/F589))</f>
        <v/>
      </c>
      <c r="J589" s="18">
        <f>IF($A589="","",IF($E589="A",$E$1,IF($E589="B",$G$1,$I$1)))</f>
        <v/>
      </c>
      <c r="K589">
        <f>IF($A589="","",IF(H589=0,"MATCH",IF(I589&gt;J589,"RECOUNT","WITHIN TOLERANCE")))</f>
        <v/>
      </c>
      <c r="L589" s="5" t="n"/>
      <c r="M589">
        <f>IF(OR($A589="",$L589=""),"",L589-F589)</f>
        <v/>
      </c>
      <c r="N589" s="5" t="n"/>
      <c r="O589" s="5" t="n"/>
    </row>
    <row r="590">
      <c r="A590">
        <f>IF('Blind Count Entry'!A588="","",'Blind Count Entry'!A588)</f>
        <v/>
      </c>
      <c r="B590" s="16">
        <f>IF($A590="","",'Blind Count Entry'!B588)</f>
        <v/>
      </c>
      <c r="C590">
        <f>IF($A590="","",'Blind Count Entry'!C588)</f>
        <v/>
      </c>
      <c r="D590">
        <f>IF($A590="","",'Blind Count Entry'!D588)</f>
        <v/>
      </c>
      <c r="E590">
        <f>IF($A590="","",IFERROR(INDEX('ABC Analysis'!$F:$F,MATCH($C590,'ABC Analysis'!$A:$A,0)),""))</f>
        <v/>
      </c>
      <c r="F590">
        <f>IF($A590="","",IFERROR(INDEX('Master Inventory'!$E:$E,MATCH($C590,'Master Inventory'!$A:$A,0)),0))</f>
        <v/>
      </c>
      <c r="G590">
        <f>IF($A590="","",'Blind Count Entry'!F588)</f>
        <v/>
      </c>
      <c r="H590">
        <f>IF($A590="","",G590-F590)</f>
        <v/>
      </c>
      <c r="I590" s="17">
        <f>IF($A590="","",IF(F590=0,IF(H590=0,0,1),ABS(H590)/F590))</f>
        <v/>
      </c>
      <c r="J590" s="18">
        <f>IF($A590="","",IF($E590="A",$E$1,IF($E590="B",$G$1,$I$1)))</f>
        <v/>
      </c>
      <c r="K590">
        <f>IF($A590="","",IF(H590=0,"MATCH",IF(I590&gt;J590,"RECOUNT","WITHIN TOLERANCE")))</f>
        <v/>
      </c>
      <c r="L590" s="5" t="n"/>
      <c r="M590">
        <f>IF(OR($A590="",$L590=""),"",L590-F590)</f>
        <v/>
      </c>
      <c r="N590" s="5" t="n"/>
      <c r="O590" s="5" t="n"/>
    </row>
    <row r="591">
      <c r="A591">
        <f>IF('Blind Count Entry'!A589="","",'Blind Count Entry'!A589)</f>
        <v/>
      </c>
      <c r="B591" s="16">
        <f>IF($A591="","",'Blind Count Entry'!B589)</f>
        <v/>
      </c>
      <c r="C591">
        <f>IF($A591="","",'Blind Count Entry'!C589)</f>
        <v/>
      </c>
      <c r="D591">
        <f>IF($A591="","",'Blind Count Entry'!D589)</f>
        <v/>
      </c>
      <c r="E591">
        <f>IF($A591="","",IFERROR(INDEX('ABC Analysis'!$F:$F,MATCH($C591,'ABC Analysis'!$A:$A,0)),""))</f>
        <v/>
      </c>
      <c r="F591">
        <f>IF($A591="","",IFERROR(INDEX('Master Inventory'!$E:$E,MATCH($C591,'Master Inventory'!$A:$A,0)),0))</f>
        <v/>
      </c>
      <c r="G591">
        <f>IF($A591="","",'Blind Count Entry'!F589)</f>
        <v/>
      </c>
      <c r="H591">
        <f>IF($A591="","",G591-F591)</f>
        <v/>
      </c>
      <c r="I591" s="17">
        <f>IF($A591="","",IF(F591=0,IF(H591=0,0,1),ABS(H591)/F591))</f>
        <v/>
      </c>
      <c r="J591" s="18">
        <f>IF($A591="","",IF($E591="A",$E$1,IF($E591="B",$G$1,$I$1)))</f>
        <v/>
      </c>
      <c r="K591">
        <f>IF($A591="","",IF(H591=0,"MATCH",IF(I591&gt;J591,"RECOUNT","WITHIN TOLERANCE")))</f>
        <v/>
      </c>
      <c r="L591" s="5" t="n"/>
      <c r="M591">
        <f>IF(OR($A591="",$L591=""),"",L591-F591)</f>
        <v/>
      </c>
      <c r="N591" s="5" t="n"/>
      <c r="O591" s="5" t="n"/>
    </row>
    <row r="592">
      <c r="A592">
        <f>IF('Blind Count Entry'!A590="","",'Blind Count Entry'!A590)</f>
        <v/>
      </c>
      <c r="B592" s="16">
        <f>IF($A592="","",'Blind Count Entry'!B590)</f>
        <v/>
      </c>
      <c r="C592">
        <f>IF($A592="","",'Blind Count Entry'!C590)</f>
        <v/>
      </c>
      <c r="D592">
        <f>IF($A592="","",'Blind Count Entry'!D590)</f>
        <v/>
      </c>
      <c r="E592">
        <f>IF($A592="","",IFERROR(INDEX('ABC Analysis'!$F:$F,MATCH($C592,'ABC Analysis'!$A:$A,0)),""))</f>
        <v/>
      </c>
      <c r="F592">
        <f>IF($A592="","",IFERROR(INDEX('Master Inventory'!$E:$E,MATCH($C592,'Master Inventory'!$A:$A,0)),0))</f>
        <v/>
      </c>
      <c r="G592">
        <f>IF($A592="","",'Blind Count Entry'!F590)</f>
        <v/>
      </c>
      <c r="H592">
        <f>IF($A592="","",G592-F592)</f>
        <v/>
      </c>
      <c r="I592" s="17">
        <f>IF($A592="","",IF(F592=0,IF(H592=0,0,1),ABS(H592)/F592))</f>
        <v/>
      </c>
      <c r="J592" s="18">
        <f>IF($A592="","",IF($E592="A",$E$1,IF($E592="B",$G$1,$I$1)))</f>
        <v/>
      </c>
      <c r="K592">
        <f>IF($A592="","",IF(H592=0,"MATCH",IF(I592&gt;J592,"RECOUNT","WITHIN TOLERANCE")))</f>
        <v/>
      </c>
      <c r="L592" s="5" t="n"/>
      <c r="M592">
        <f>IF(OR($A592="",$L592=""),"",L592-F592)</f>
        <v/>
      </c>
      <c r="N592" s="5" t="n"/>
      <c r="O592" s="5" t="n"/>
    </row>
    <row r="593">
      <c r="A593">
        <f>IF('Blind Count Entry'!A591="","",'Blind Count Entry'!A591)</f>
        <v/>
      </c>
      <c r="B593" s="16">
        <f>IF($A593="","",'Blind Count Entry'!B591)</f>
        <v/>
      </c>
      <c r="C593">
        <f>IF($A593="","",'Blind Count Entry'!C591)</f>
        <v/>
      </c>
      <c r="D593">
        <f>IF($A593="","",'Blind Count Entry'!D591)</f>
        <v/>
      </c>
      <c r="E593">
        <f>IF($A593="","",IFERROR(INDEX('ABC Analysis'!$F:$F,MATCH($C593,'ABC Analysis'!$A:$A,0)),""))</f>
        <v/>
      </c>
      <c r="F593">
        <f>IF($A593="","",IFERROR(INDEX('Master Inventory'!$E:$E,MATCH($C593,'Master Inventory'!$A:$A,0)),0))</f>
        <v/>
      </c>
      <c r="G593">
        <f>IF($A593="","",'Blind Count Entry'!F591)</f>
        <v/>
      </c>
      <c r="H593">
        <f>IF($A593="","",G593-F593)</f>
        <v/>
      </c>
      <c r="I593" s="17">
        <f>IF($A593="","",IF(F593=0,IF(H593=0,0,1),ABS(H593)/F593))</f>
        <v/>
      </c>
      <c r="J593" s="18">
        <f>IF($A593="","",IF($E593="A",$E$1,IF($E593="B",$G$1,$I$1)))</f>
        <v/>
      </c>
      <c r="K593">
        <f>IF($A593="","",IF(H593=0,"MATCH",IF(I593&gt;J593,"RECOUNT","WITHIN TOLERANCE")))</f>
        <v/>
      </c>
      <c r="L593" s="5" t="n"/>
      <c r="M593">
        <f>IF(OR($A593="",$L593=""),"",L593-F593)</f>
        <v/>
      </c>
      <c r="N593" s="5" t="n"/>
      <c r="O593" s="5" t="n"/>
    </row>
    <row r="594">
      <c r="A594">
        <f>IF('Blind Count Entry'!A592="","",'Blind Count Entry'!A592)</f>
        <v/>
      </c>
      <c r="B594" s="16">
        <f>IF($A594="","",'Blind Count Entry'!B592)</f>
        <v/>
      </c>
      <c r="C594">
        <f>IF($A594="","",'Blind Count Entry'!C592)</f>
        <v/>
      </c>
      <c r="D594">
        <f>IF($A594="","",'Blind Count Entry'!D592)</f>
        <v/>
      </c>
      <c r="E594">
        <f>IF($A594="","",IFERROR(INDEX('ABC Analysis'!$F:$F,MATCH($C594,'ABC Analysis'!$A:$A,0)),""))</f>
        <v/>
      </c>
      <c r="F594">
        <f>IF($A594="","",IFERROR(INDEX('Master Inventory'!$E:$E,MATCH($C594,'Master Inventory'!$A:$A,0)),0))</f>
        <v/>
      </c>
      <c r="G594">
        <f>IF($A594="","",'Blind Count Entry'!F592)</f>
        <v/>
      </c>
      <c r="H594">
        <f>IF($A594="","",G594-F594)</f>
        <v/>
      </c>
      <c r="I594" s="17">
        <f>IF($A594="","",IF(F594=0,IF(H594=0,0,1),ABS(H594)/F594))</f>
        <v/>
      </c>
      <c r="J594" s="18">
        <f>IF($A594="","",IF($E594="A",$E$1,IF($E594="B",$G$1,$I$1)))</f>
        <v/>
      </c>
      <c r="K594">
        <f>IF($A594="","",IF(H594=0,"MATCH",IF(I594&gt;J594,"RECOUNT","WITHIN TOLERANCE")))</f>
        <v/>
      </c>
      <c r="L594" s="5" t="n"/>
      <c r="M594">
        <f>IF(OR($A594="",$L594=""),"",L594-F594)</f>
        <v/>
      </c>
      <c r="N594" s="5" t="n"/>
      <c r="O594" s="5" t="n"/>
    </row>
    <row r="595">
      <c r="A595">
        <f>IF('Blind Count Entry'!A593="","",'Blind Count Entry'!A593)</f>
        <v/>
      </c>
      <c r="B595" s="16">
        <f>IF($A595="","",'Blind Count Entry'!B593)</f>
        <v/>
      </c>
      <c r="C595">
        <f>IF($A595="","",'Blind Count Entry'!C593)</f>
        <v/>
      </c>
      <c r="D595">
        <f>IF($A595="","",'Blind Count Entry'!D593)</f>
        <v/>
      </c>
      <c r="E595">
        <f>IF($A595="","",IFERROR(INDEX('ABC Analysis'!$F:$F,MATCH($C595,'ABC Analysis'!$A:$A,0)),""))</f>
        <v/>
      </c>
      <c r="F595">
        <f>IF($A595="","",IFERROR(INDEX('Master Inventory'!$E:$E,MATCH($C595,'Master Inventory'!$A:$A,0)),0))</f>
        <v/>
      </c>
      <c r="G595">
        <f>IF($A595="","",'Blind Count Entry'!F593)</f>
        <v/>
      </c>
      <c r="H595">
        <f>IF($A595="","",G595-F595)</f>
        <v/>
      </c>
      <c r="I595" s="17">
        <f>IF($A595="","",IF(F595=0,IF(H595=0,0,1),ABS(H595)/F595))</f>
        <v/>
      </c>
      <c r="J595" s="18">
        <f>IF($A595="","",IF($E595="A",$E$1,IF($E595="B",$G$1,$I$1)))</f>
        <v/>
      </c>
      <c r="K595">
        <f>IF($A595="","",IF(H595=0,"MATCH",IF(I595&gt;J595,"RECOUNT","WITHIN TOLERANCE")))</f>
        <v/>
      </c>
      <c r="L595" s="5" t="n"/>
      <c r="M595">
        <f>IF(OR($A595="",$L595=""),"",L595-F595)</f>
        <v/>
      </c>
      <c r="N595" s="5" t="n"/>
      <c r="O595" s="5" t="n"/>
    </row>
    <row r="596">
      <c r="A596">
        <f>IF('Blind Count Entry'!A594="","",'Blind Count Entry'!A594)</f>
        <v/>
      </c>
      <c r="B596" s="16">
        <f>IF($A596="","",'Blind Count Entry'!B594)</f>
        <v/>
      </c>
      <c r="C596">
        <f>IF($A596="","",'Blind Count Entry'!C594)</f>
        <v/>
      </c>
      <c r="D596">
        <f>IF($A596="","",'Blind Count Entry'!D594)</f>
        <v/>
      </c>
      <c r="E596">
        <f>IF($A596="","",IFERROR(INDEX('ABC Analysis'!$F:$F,MATCH($C596,'ABC Analysis'!$A:$A,0)),""))</f>
        <v/>
      </c>
      <c r="F596">
        <f>IF($A596="","",IFERROR(INDEX('Master Inventory'!$E:$E,MATCH($C596,'Master Inventory'!$A:$A,0)),0))</f>
        <v/>
      </c>
      <c r="G596">
        <f>IF($A596="","",'Blind Count Entry'!F594)</f>
        <v/>
      </c>
      <c r="H596">
        <f>IF($A596="","",G596-F596)</f>
        <v/>
      </c>
      <c r="I596" s="17">
        <f>IF($A596="","",IF(F596=0,IF(H596=0,0,1),ABS(H596)/F596))</f>
        <v/>
      </c>
      <c r="J596" s="18">
        <f>IF($A596="","",IF($E596="A",$E$1,IF($E596="B",$G$1,$I$1)))</f>
        <v/>
      </c>
      <c r="K596">
        <f>IF($A596="","",IF(H596=0,"MATCH",IF(I596&gt;J596,"RECOUNT","WITHIN TOLERANCE")))</f>
        <v/>
      </c>
      <c r="L596" s="5" t="n"/>
      <c r="M596">
        <f>IF(OR($A596="",$L596=""),"",L596-F596)</f>
        <v/>
      </c>
      <c r="N596" s="5" t="n"/>
      <c r="O596" s="5" t="n"/>
    </row>
    <row r="597">
      <c r="A597">
        <f>IF('Blind Count Entry'!A595="","",'Blind Count Entry'!A595)</f>
        <v/>
      </c>
      <c r="B597" s="16">
        <f>IF($A597="","",'Blind Count Entry'!B595)</f>
        <v/>
      </c>
      <c r="C597">
        <f>IF($A597="","",'Blind Count Entry'!C595)</f>
        <v/>
      </c>
      <c r="D597">
        <f>IF($A597="","",'Blind Count Entry'!D595)</f>
        <v/>
      </c>
      <c r="E597">
        <f>IF($A597="","",IFERROR(INDEX('ABC Analysis'!$F:$F,MATCH($C597,'ABC Analysis'!$A:$A,0)),""))</f>
        <v/>
      </c>
      <c r="F597">
        <f>IF($A597="","",IFERROR(INDEX('Master Inventory'!$E:$E,MATCH($C597,'Master Inventory'!$A:$A,0)),0))</f>
        <v/>
      </c>
      <c r="G597">
        <f>IF($A597="","",'Blind Count Entry'!F595)</f>
        <v/>
      </c>
      <c r="H597">
        <f>IF($A597="","",G597-F597)</f>
        <v/>
      </c>
      <c r="I597" s="17">
        <f>IF($A597="","",IF(F597=0,IF(H597=0,0,1),ABS(H597)/F597))</f>
        <v/>
      </c>
      <c r="J597" s="18">
        <f>IF($A597="","",IF($E597="A",$E$1,IF($E597="B",$G$1,$I$1)))</f>
        <v/>
      </c>
      <c r="K597">
        <f>IF($A597="","",IF(H597=0,"MATCH",IF(I597&gt;J597,"RECOUNT","WITHIN TOLERANCE")))</f>
        <v/>
      </c>
      <c r="L597" s="5" t="n"/>
      <c r="M597">
        <f>IF(OR($A597="",$L597=""),"",L597-F597)</f>
        <v/>
      </c>
      <c r="N597" s="5" t="n"/>
      <c r="O597" s="5" t="n"/>
    </row>
    <row r="598">
      <c r="A598">
        <f>IF('Blind Count Entry'!A596="","",'Blind Count Entry'!A596)</f>
        <v/>
      </c>
      <c r="B598" s="16">
        <f>IF($A598="","",'Blind Count Entry'!B596)</f>
        <v/>
      </c>
      <c r="C598">
        <f>IF($A598="","",'Blind Count Entry'!C596)</f>
        <v/>
      </c>
      <c r="D598">
        <f>IF($A598="","",'Blind Count Entry'!D596)</f>
        <v/>
      </c>
      <c r="E598">
        <f>IF($A598="","",IFERROR(INDEX('ABC Analysis'!$F:$F,MATCH($C598,'ABC Analysis'!$A:$A,0)),""))</f>
        <v/>
      </c>
      <c r="F598">
        <f>IF($A598="","",IFERROR(INDEX('Master Inventory'!$E:$E,MATCH($C598,'Master Inventory'!$A:$A,0)),0))</f>
        <v/>
      </c>
      <c r="G598">
        <f>IF($A598="","",'Blind Count Entry'!F596)</f>
        <v/>
      </c>
      <c r="H598">
        <f>IF($A598="","",G598-F598)</f>
        <v/>
      </c>
      <c r="I598" s="17">
        <f>IF($A598="","",IF(F598=0,IF(H598=0,0,1),ABS(H598)/F598))</f>
        <v/>
      </c>
      <c r="J598" s="18">
        <f>IF($A598="","",IF($E598="A",$E$1,IF($E598="B",$G$1,$I$1)))</f>
        <v/>
      </c>
      <c r="K598">
        <f>IF($A598="","",IF(H598=0,"MATCH",IF(I598&gt;J598,"RECOUNT","WITHIN TOLERANCE")))</f>
        <v/>
      </c>
      <c r="L598" s="5" t="n"/>
      <c r="M598">
        <f>IF(OR($A598="",$L598=""),"",L598-F598)</f>
        <v/>
      </c>
      <c r="N598" s="5" t="n"/>
      <c r="O598" s="5" t="n"/>
    </row>
    <row r="599">
      <c r="A599">
        <f>IF('Blind Count Entry'!A597="","",'Blind Count Entry'!A597)</f>
        <v/>
      </c>
      <c r="B599" s="16">
        <f>IF($A599="","",'Blind Count Entry'!B597)</f>
        <v/>
      </c>
      <c r="C599">
        <f>IF($A599="","",'Blind Count Entry'!C597)</f>
        <v/>
      </c>
      <c r="D599">
        <f>IF($A599="","",'Blind Count Entry'!D597)</f>
        <v/>
      </c>
      <c r="E599">
        <f>IF($A599="","",IFERROR(INDEX('ABC Analysis'!$F:$F,MATCH($C599,'ABC Analysis'!$A:$A,0)),""))</f>
        <v/>
      </c>
      <c r="F599">
        <f>IF($A599="","",IFERROR(INDEX('Master Inventory'!$E:$E,MATCH($C599,'Master Inventory'!$A:$A,0)),0))</f>
        <v/>
      </c>
      <c r="G599">
        <f>IF($A599="","",'Blind Count Entry'!F597)</f>
        <v/>
      </c>
      <c r="H599">
        <f>IF($A599="","",G599-F599)</f>
        <v/>
      </c>
      <c r="I599" s="17">
        <f>IF($A599="","",IF(F599=0,IF(H599=0,0,1),ABS(H599)/F599))</f>
        <v/>
      </c>
      <c r="J599" s="18">
        <f>IF($A599="","",IF($E599="A",$E$1,IF($E599="B",$G$1,$I$1)))</f>
        <v/>
      </c>
      <c r="K599">
        <f>IF($A599="","",IF(H599=0,"MATCH",IF(I599&gt;J599,"RECOUNT","WITHIN TOLERANCE")))</f>
        <v/>
      </c>
      <c r="L599" s="5" t="n"/>
      <c r="M599">
        <f>IF(OR($A599="",$L599=""),"",L599-F599)</f>
        <v/>
      </c>
      <c r="N599" s="5" t="n"/>
      <c r="O599" s="5" t="n"/>
    </row>
    <row r="600">
      <c r="A600">
        <f>IF('Blind Count Entry'!A598="","",'Blind Count Entry'!A598)</f>
        <v/>
      </c>
      <c r="B600" s="16">
        <f>IF($A600="","",'Blind Count Entry'!B598)</f>
        <v/>
      </c>
      <c r="C600">
        <f>IF($A600="","",'Blind Count Entry'!C598)</f>
        <v/>
      </c>
      <c r="D600">
        <f>IF($A600="","",'Blind Count Entry'!D598)</f>
        <v/>
      </c>
      <c r="E600">
        <f>IF($A600="","",IFERROR(INDEX('ABC Analysis'!$F:$F,MATCH($C600,'ABC Analysis'!$A:$A,0)),""))</f>
        <v/>
      </c>
      <c r="F600">
        <f>IF($A600="","",IFERROR(INDEX('Master Inventory'!$E:$E,MATCH($C600,'Master Inventory'!$A:$A,0)),0))</f>
        <v/>
      </c>
      <c r="G600">
        <f>IF($A600="","",'Blind Count Entry'!F598)</f>
        <v/>
      </c>
      <c r="H600">
        <f>IF($A600="","",G600-F600)</f>
        <v/>
      </c>
      <c r="I600" s="17">
        <f>IF($A600="","",IF(F600=0,IF(H600=0,0,1),ABS(H600)/F600))</f>
        <v/>
      </c>
      <c r="J600" s="18">
        <f>IF($A600="","",IF($E600="A",$E$1,IF($E600="B",$G$1,$I$1)))</f>
        <v/>
      </c>
      <c r="K600">
        <f>IF($A600="","",IF(H600=0,"MATCH",IF(I600&gt;J600,"RECOUNT","WITHIN TOLERANCE")))</f>
        <v/>
      </c>
      <c r="L600" s="5" t="n"/>
      <c r="M600">
        <f>IF(OR($A600="",$L600=""),"",L600-F600)</f>
        <v/>
      </c>
      <c r="N600" s="5" t="n"/>
      <c r="O600" s="5" t="n"/>
    </row>
    <row r="601">
      <c r="A601">
        <f>IF('Blind Count Entry'!A599="","",'Blind Count Entry'!A599)</f>
        <v/>
      </c>
      <c r="B601" s="16">
        <f>IF($A601="","",'Blind Count Entry'!B599)</f>
        <v/>
      </c>
      <c r="C601">
        <f>IF($A601="","",'Blind Count Entry'!C599)</f>
        <v/>
      </c>
      <c r="D601">
        <f>IF($A601="","",'Blind Count Entry'!D599)</f>
        <v/>
      </c>
      <c r="E601">
        <f>IF($A601="","",IFERROR(INDEX('ABC Analysis'!$F:$F,MATCH($C601,'ABC Analysis'!$A:$A,0)),""))</f>
        <v/>
      </c>
      <c r="F601">
        <f>IF($A601="","",IFERROR(INDEX('Master Inventory'!$E:$E,MATCH($C601,'Master Inventory'!$A:$A,0)),0))</f>
        <v/>
      </c>
      <c r="G601">
        <f>IF($A601="","",'Blind Count Entry'!F599)</f>
        <v/>
      </c>
      <c r="H601">
        <f>IF($A601="","",G601-F601)</f>
        <v/>
      </c>
      <c r="I601" s="17">
        <f>IF($A601="","",IF(F601=0,IF(H601=0,0,1),ABS(H601)/F601))</f>
        <v/>
      </c>
      <c r="J601" s="18">
        <f>IF($A601="","",IF($E601="A",$E$1,IF($E601="B",$G$1,$I$1)))</f>
        <v/>
      </c>
      <c r="K601">
        <f>IF($A601="","",IF(H601=0,"MATCH",IF(I601&gt;J601,"RECOUNT","WITHIN TOLERANCE")))</f>
        <v/>
      </c>
      <c r="L601" s="5" t="n"/>
      <c r="M601">
        <f>IF(OR($A601="",$L601=""),"",L601-F601)</f>
        <v/>
      </c>
      <c r="N601" s="5" t="n"/>
      <c r="O601" s="5" t="n"/>
    </row>
    <row r="602">
      <c r="A602">
        <f>IF('Blind Count Entry'!A600="","",'Blind Count Entry'!A600)</f>
        <v/>
      </c>
      <c r="B602" s="16">
        <f>IF($A602="","",'Blind Count Entry'!B600)</f>
        <v/>
      </c>
      <c r="C602">
        <f>IF($A602="","",'Blind Count Entry'!C600)</f>
        <v/>
      </c>
      <c r="D602">
        <f>IF($A602="","",'Blind Count Entry'!D600)</f>
        <v/>
      </c>
      <c r="E602">
        <f>IF($A602="","",IFERROR(INDEX('ABC Analysis'!$F:$F,MATCH($C602,'ABC Analysis'!$A:$A,0)),""))</f>
        <v/>
      </c>
      <c r="F602">
        <f>IF($A602="","",IFERROR(INDEX('Master Inventory'!$E:$E,MATCH($C602,'Master Inventory'!$A:$A,0)),0))</f>
        <v/>
      </c>
      <c r="G602">
        <f>IF($A602="","",'Blind Count Entry'!F600)</f>
        <v/>
      </c>
      <c r="H602">
        <f>IF($A602="","",G602-F602)</f>
        <v/>
      </c>
      <c r="I602" s="17">
        <f>IF($A602="","",IF(F602=0,IF(H602=0,0,1),ABS(H602)/F602))</f>
        <v/>
      </c>
      <c r="J602" s="18">
        <f>IF($A602="","",IF($E602="A",$E$1,IF($E602="B",$G$1,$I$1)))</f>
        <v/>
      </c>
      <c r="K602">
        <f>IF($A602="","",IF(H602=0,"MATCH",IF(I602&gt;J602,"RECOUNT","WITHIN TOLERANCE")))</f>
        <v/>
      </c>
      <c r="L602" s="5" t="n"/>
      <c r="M602">
        <f>IF(OR($A602="",$L602=""),"",L602-F602)</f>
        <v/>
      </c>
      <c r="N602" s="5" t="n"/>
      <c r="O602" s="5" t="n"/>
    </row>
    <row r="603">
      <c r="A603">
        <f>IF('Blind Count Entry'!A601="","",'Blind Count Entry'!A601)</f>
        <v/>
      </c>
      <c r="B603" s="16">
        <f>IF($A603="","",'Blind Count Entry'!B601)</f>
        <v/>
      </c>
      <c r="C603">
        <f>IF($A603="","",'Blind Count Entry'!C601)</f>
        <v/>
      </c>
      <c r="D603">
        <f>IF($A603="","",'Blind Count Entry'!D601)</f>
        <v/>
      </c>
      <c r="E603">
        <f>IF($A603="","",IFERROR(INDEX('ABC Analysis'!$F:$F,MATCH($C603,'ABC Analysis'!$A:$A,0)),""))</f>
        <v/>
      </c>
      <c r="F603">
        <f>IF($A603="","",IFERROR(INDEX('Master Inventory'!$E:$E,MATCH($C603,'Master Inventory'!$A:$A,0)),0))</f>
        <v/>
      </c>
      <c r="G603">
        <f>IF($A603="","",'Blind Count Entry'!F601)</f>
        <v/>
      </c>
      <c r="H603">
        <f>IF($A603="","",G603-F603)</f>
        <v/>
      </c>
      <c r="I603" s="17">
        <f>IF($A603="","",IF(F603=0,IF(H603=0,0,1),ABS(H603)/F603))</f>
        <v/>
      </c>
      <c r="J603" s="18">
        <f>IF($A603="","",IF($E603="A",$E$1,IF($E603="B",$G$1,$I$1)))</f>
        <v/>
      </c>
      <c r="K603">
        <f>IF($A603="","",IF(H603=0,"MATCH",IF(I603&gt;J603,"RECOUNT","WITHIN TOLERANCE")))</f>
        <v/>
      </c>
      <c r="L603" s="5" t="n"/>
      <c r="M603">
        <f>IF(OR($A603="",$L603=""),"",L603-F603)</f>
        <v/>
      </c>
      <c r="N603" s="5" t="n"/>
      <c r="O603" s="5" t="n"/>
    </row>
    <row r="604">
      <c r="A604">
        <f>IF('Blind Count Entry'!A602="","",'Blind Count Entry'!A602)</f>
        <v/>
      </c>
      <c r="B604" s="16">
        <f>IF($A604="","",'Blind Count Entry'!B602)</f>
        <v/>
      </c>
      <c r="C604">
        <f>IF($A604="","",'Blind Count Entry'!C602)</f>
        <v/>
      </c>
      <c r="D604">
        <f>IF($A604="","",'Blind Count Entry'!D602)</f>
        <v/>
      </c>
      <c r="E604">
        <f>IF($A604="","",IFERROR(INDEX('ABC Analysis'!$F:$F,MATCH($C604,'ABC Analysis'!$A:$A,0)),""))</f>
        <v/>
      </c>
      <c r="F604">
        <f>IF($A604="","",IFERROR(INDEX('Master Inventory'!$E:$E,MATCH($C604,'Master Inventory'!$A:$A,0)),0))</f>
        <v/>
      </c>
      <c r="G604">
        <f>IF($A604="","",'Blind Count Entry'!F602)</f>
        <v/>
      </c>
      <c r="H604">
        <f>IF($A604="","",G604-F604)</f>
        <v/>
      </c>
      <c r="I604" s="17">
        <f>IF($A604="","",IF(F604=0,IF(H604=0,0,1),ABS(H604)/F604))</f>
        <v/>
      </c>
      <c r="J604" s="18">
        <f>IF($A604="","",IF($E604="A",$E$1,IF($E604="B",$G$1,$I$1)))</f>
        <v/>
      </c>
      <c r="K604">
        <f>IF($A604="","",IF(H604=0,"MATCH",IF(I604&gt;J604,"RECOUNT","WITHIN TOLERANCE")))</f>
        <v/>
      </c>
      <c r="L604" s="5" t="n"/>
      <c r="M604">
        <f>IF(OR($A604="",$L604=""),"",L604-F604)</f>
        <v/>
      </c>
      <c r="N604" s="5" t="n"/>
      <c r="O604" s="5" t="n"/>
    </row>
    <row r="605">
      <c r="A605">
        <f>IF('Blind Count Entry'!A603="","",'Blind Count Entry'!A603)</f>
        <v/>
      </c>
      <c r="B605" s="16">
        <f>IF($A605="","",'Blind Count Entry'!B603)</f>
        <v/>
      </c>
      <c r="C605">
        <f>IF($A605="","",'Blind Count Entry'!C603)</f>
        <v/>
      </c>
      <c r="D605">
        <f>IF($A605="","",'Blind Count Entry'!D603)</f>
        <v/>
      </c>
      <c r="E605">
        <f>IF($A605="","",IFERROR(INDEX('ABC Analysis'!$F:$F,MATCH($C605,'ABC Analysis'!$A:$A,0)),""))</f>
        <v/>
      </c>
      <c r="F605">
        <f>IF($A605="","",IFERROR(INDEX('Master Inventory'!$E:$E,MATCH($C605,'Master Inventory'!$A:$A,0)),0))</f>
        <v/>
      </c>
      <c r="G605">
        <f>IF($A605="","",'Blind Count Entry'!F603)</f>
        <v/>
      </c>
      <c r="H605">
        <f>IF($A605="","",G605-F605)</f>
        <v/>
      </c>
      <c r="I605" s="17">
        <f>IF($A605="","",IF(F605=0,IF(H605=0,0,1),ABS(H605)/F605))</f>
        <v/>
      </c>
      <c r="J605" s="18">
        <f>IF($A605="","",IF($E605="A",$E$1,IF($E605="B",$G$1,$I$1)))</f>
        <v/>
      </c>
      <c r="K605">
        <f>IF($A605="","",IF(H605=0,"MATCH",IF(I605&gt;J605,"RECOUNT","WITHIN TOLERANCE")))</f>
        <v/>
      </c>
      <c r="L605" s="5" t="n"/>
      <c r="M605">
        <f>IF(OR($A605="",$L605=""),"",L605-F605)</f>
        <v/>
      </c>
      <c r="N605" s="5" t="n"/>
      <c r="O605" s="5" t="n"/>
    </row>
    <row r="606">
      <c r="A606">
        <f>IF('Blind Count Entry'!A604="","",'Blind Count Entry'!A604)</f>
        <v/>
      </c>
      <c r="B606" s="16">
        <f>IF($A606="","",'Blind Count Entry'!B604)</f>
        <v/>
      </c>
      <c r="C606">
        <f>IF($A606="","",'Blind Count Entry'!C604)</f>
        <v/>
      </c>
      <c r="D606">
        <f>IF($A606="","",'Blind Count Entry'!D604)</f>
        <v/>
      </c>
      <c r="E606">
        <f>IF($A606="","",IFERROR(INDEX('ABC Analysis'!$F:$F,MATCH($C606,'ABC Analysis'!$A:$A,0)),""))</f>
        <v/>
      </c>
      <c r="F606">
        <f>IF($A606="","",IFERROR(INDEX('Master Inventory'!$E:$E,MATCH($C606,'Master Inventory'!$A:$A,0)),0))</f>
        <v/>
      </c>
      <c r="G606">
        <f>IF($A606="","",'Blind Count Entry'!F604)</f>
        <v/>
      </c>
      <c r="H606">
        <f>IF($A606="","",G606-F606)</f>
        <v/>
      </c>
      <c r="I606" s="17">
        <f>IF($A606="","",IF(F606=0,IF(H606=0,0,1),ABS(H606)/F606))</f>
        <v/>
      </c>
      <c r="J606" s="18">
        <f>IF($A606="","",IF($E606="A",$E$1,IF($E606="B",$G$1,$I$1)))</f>
        <v/>
      </c>
      <c r="K606">
        <f>IF($A606="","",IF(H606=0,"MATCH",IF(I606&gt;J606,"RECOUNT","WITHIN TOLERANCE")))</f>
        <v/>
      </c>
      <c r="L606" s="5" t="n"/>
      <c r="M606">
        <f>IF(OR($A606="",$L606=""),"",L606-F606)</f>
        <v/>
      </c>
      <c r="N606" s="5" t="n"/>
      <c r="O606" s="5" t="n"/>
    </row>
    <row r="607">
      <c r="A607">
        <f>IF('Blind Count Entry'!A605="","",'Blind Count Entry'!A605)</f>
        <v/>
      </c>
      <c r="B607" s="16">
        <f>IF($A607="","",'Blind Count Entry'!B605)</f>
        <v/>
      </c>
      <c r="C607">
        <f>IF($A607="","",'Blind Count Entry'!C605)</f>
        <v/>
      </c>
      <c r="D607">
        <f>IF($A607="","",'Blind Count Entry'!D605)</f>
        <v/>
      </c>
      <c r="E607">
        <f>IF($A607="","",IFERROR(INDEX('ABC Analysis'!$F:$F,MATCH($C607,'ABC Analysis'!$A:$A,0)),""))</f>
        <v/>
      </c>
      <c r="F607">
        <f>IF($A607="","",IFERROR(INDEX('Master Inventory'!$E:$E,MATCH($C607,'Master Inventory'!$A:$A,0)),0))</f>
        <v/>
      </c>
      <c r="G607">
        <f>IF($A607="","",'Blind Count Entry'!F605)</f>
        <v/>
      </c>
      <c r="H607">
        <f>IF($A607="","",G607-F607)</f>
        <v/>
      </c>
      <c r="I607" s="17">
        <f>IF($A607="","",IF(F607=0,IF(H607=0,0,1),ABS(H607)/F607))</f>
        <v/>
      </c>
      <c r="J607" s="18">
        <f>IF($A607="","",IF($E607="A",$E$1,IF($E607="B",$G$1,$I$1)))</f>
        <v/>
      </c>
      <c r="K607">
        <f>IF($A607="","",IF(H607=0,"MATCH",IF(I607&gt;J607,"RECOUNT","WITHIN TOLERANCE")))</f>
        <v/>
      </c>
      <c r="L607" s="5" t="n"/>
      <c r="M607">
        <f>IF(OR($A607="",$L607=""),"",L607-F607)</f>
        <v/>
      </c>
      <c r="N607" s="5" t="n"/>
      <c r="O607" s="5" t="n"/>
    </row>
    <row r="608">
      <c r="A608">
        <f>IF('Blind Count Entry'!A606="","",'Blind Count Entry'!A606)</f>
        <v/>
      </c>
      <c r="B608" s="16">
        <f>IF($A608="","",'Blind Count Entry'!B606)</f>
        <v/>
      </c>
      <c r="C608">
        <f>IF($A608="","",'Blind Count Entry'!C606)</f>
        <v/>
      </c>
      <c r="D608">
        <f>IF($A608="","",'Blind Count Entry'!D606)</f>
        <v/>
      </c>
      <c r="E608">
        <f>IF($A608="","",IFERROR(INDEX('ABC Analysis'!$F:$F,MATCH($C608,'ABC Analysis'!$A:$A,0)),""))</f>
        <v/>
      </c>
      <c r="F608">
        <f>IF($A608="","",IFERROR(INDEX('Master Inventory'!$E:$E,MATCH($C608,'Master Inventory'!$A:$A,0)),0))</f>
        <v/>
      </c>
      <c r="G608">
        <f>IF($A608="","",'Blind Count Entry'!F606)</f>
        <v/>
      </c>
      <c r="H608">
        <f>IF($A608="","",G608-F608)</f>
        <v/>
      </c>
      <c r="I608" s="17">
        <f>IF($A608="","",IF(F608=0,IF(H608=0,0,1),ABS(H608)/F608))</f>
        <v/>
      </c>
      <c r="J608" s="18">
        <f>IF($A608="","",IF($E608="A",$E$1,IF($E608="B",$G$1,$I$1)))</f>
        <v/>
      </c>
      <c r="K608">
        <f>IF($A608="","",IF(H608=0,"MATCH",IF(I608&gt;J608,"RECOUNT","WITHIN TOLERANCE")))</f>
        <v/>
      </c>
      <c r="L608" s="5" t="n"/>
      <c r="M608">
        <f>IF(OR($A608="",$L608=""),"",L608-F608)</f>
        <v/>
      </c>
      <c r="N608" s="5" t="n"/>
      <c r="O608" s="5" t="n"/>
    </row>
    <row r="609">
      <c r="A609">
        <f>IF('Blind Count Entry'!A607="","",'Blind Count Entry'!A607)</f>
        <v/>
      </c>
      <c r="B609" s="16">
        <f>IF($A609="","",'Blind Count Entry'!B607)</f>
        <v/>
      </c>
      <c r="C609">
        <f>IF($A609="","",'Blind Count Entry'!C607)</f>
        <v/>
      </c>
      <c r="D609">
        <f>IF($A609="","",'Blind Count Entry'!D607)</f>
        <v/>
      </c>
      <c r="E609">
        <f>IF($A609="","",IFERROR(INDEX('ABC Analysis'!$F:$F,MATCH($C609,'ABC Analysis'!$A:$A,0)),""))</f>
        <v/>
      </c>
      <c r="F609">
        <f>IF($A609="","",IFERROR(INDEX('Master Inventory'!$E:$E,MATCH($C609,'Master Inventory'!$A:$A,0)),0))</f>
        <v/>
      </c>
      <c r="G609">
        <f>IF($A609="","",'Blind Count Entry'!F607)</f>
        <v/>
      </c>
      <c r="H609">
        <f>IF($A609="","",G609-F609)</f>
        <v/>
      </c>
      <c r="I609" s="17">
        <f>IF($A609="","",IF(F609=0,IF(H609=0,0,1),ABS(H609)/F609))</f>
        <v/>
      </c>
      <c r="J609" s="18">
        <f>IF($A609="","",IF($E609="A",$E$1,IF($E609="B",$G$1,$I$1)))</f>
        <v/>
      </c>
      <c r="K609">
        <f>IF($A609="","",IF(H609=0,"MATCH",IF(I609&gt;J609,"RECOUNT","WITHIN TOLERANCE")))</f>
        <v/>
      </c>
      <c r="L609" s="5" t="n"/>
      <c r="M609">
        <f>IF(OR($A609="",$L609=""),"",L609-F609)</f>
        <v/>
      </c>
      <c r="N609" s="5" t="n"/>
      <c r="O609" s="5" t="n"/>
    </row>
    <row r="610">
      <c r="A610">
        <f>IF('Blind Count Entry'!A608="","",'Blind Count Entry'!A608)</f>
        <v/>
      </c>
      <c r="B610" s="16">
        <f>IF($A610="","",'Blind Count Entry'!B608)</f>
        <v/>
      </c>
      <c r="C610">
        <f>IF($A610="","",'Blind Count Entry'!C608)</f>
        <v/>
      </c>
      <c r="D610">
        <f>IF($A610="","",'Blind Count Entry'!D608)</f>
        <v/>
      </c>
      <c r="E610">
        <f>IF($A610="","",IFERROR(INDEX('ABC Analysis'!$F:$F,MATCH($C610,'ABC Analysis'!$A:$A,0)),""))</f>
        <v/>
      </c>
      <c r="F610">
        <f>IF($A610="","",IFERROR(INDEX('Master Inventory'!$E:$E,MATCH($C610,'Master Inventory'!$A:$A,0)),0))</f>
        <v/>
      </c>
      <c r="G610">
        <f>IF($A610="","",'Blind Count Entry'!F608)</f>
        <v/>
      </c>
      <c r="H610">
        <f>IF($A610="","",G610-F610)</f>
        <v/>
      </c>
      <c r="I610" s="17">
        <f>IF($A610="","",IF(F610=0,IF(H610=0,0,1),ABS(H610)/F610))</f>
        <v/>
      </c>
      <c r="J610" s="18">
        <f>IF($A610="","",IF($E610="A",$E$1,IF($E610="B",$G$1,$I$1)))</f>
        <v/>
      </c>
      <c r="K610">
        <f>IF($A610="","",IF(H610=0,"MATCH",IF(I610&gt;J610,"RECOUNT","WITHIN TOLERANCE")))</f>
        <v/>
      </c>
      <c r="L610" s="5" t="n"/>
      <c r="M610">
        <f>IF(OR($A610="",$L610=""),"",L610-F610)</f>
        <v/>
      </c>
      <c r="N610" s="5" t="n"/>
      <c r="O610" s="5" t="n"/>
    </row>
    <row r="611">
      <c r="A611">
        <f>IF('Blind Count Entry'!A609="","",'Blind Count Entry'!A609)</f>
        <v/>
      </c>
      <c r="B611" s="16">
        <f>IF($A611="","",'Blind Count Entry'!B609)</f>
        <v/>
      </c>
      <c r="C611">
        <f>IF($A611="","",'Blind Count Entry'!C609)</f>
        <v/>
      </c>
      <c r="D611">
        <f>IF($A611="","",'Blind Count Entry'!D609)</f>
        <v/>
      </c>
      <c r="E611">
        <f>IF($A611="","",IFERROR(INDEX('ABC Analysis'!$F:$F,MATCH($C611,'ABC Analysis'!$A:$A,0)),""))</f>
        <v/>
      </c>
      <c r="F611">
        <f>IF($A611="","",IFERROR(INDEX('Master Inventory'!$E:$E,MATCH($C611,'Master Inventory'!$A:$A,0)),0))</f>
        <v/>
      </c>
      <c r="G611">
        <f>IF($A611="","",'Blind Count Entry'!F609)</f>
        <v/>
      </c>
      <c r="H611">
        <f>IF($A611="","",G611-F611)</f>
        <v/>
      </c>
      <c r="I611" s="17">
        <f>IF($A611="","",IF(F611=0,IF(H611=0,0,1),ABS(H611)/F611))</f>
        <v/>
      </c>
      <c r="J611" s="18">
        <f>IF($A611="","",IF($E611="A",$E$1,IF($E611="B",$G$1,$I$1)))</f>
        <v/>
      </c>
      <c r="K611">
        <f>IF($A611="","",IF(H611=0,"MATCH",IF(I611&gt;J611,"RECOUNT","WITHIN TOLERANCE")))</f>
        <v/>
      </c>
      <c r="L611" s="5" t="n"/>
      <c r="M611">
        <f>IF(OR($A611="",$L611=""),"",L611-F611)</f>
        <v/>
      </c>
      <c r="N611" s="5" t="n"/>
      <c r="O611" s="5" t="n"/>
    </row>
    <row r="612">
      <c r="A612">
        <f>IF('Blind Count Entry'!A610="","",'Blind Count Entry'!A610)</f>
        <v/>
      </c>
      <c r="B612" s="16">
        <f>IF($A612="","",'Blind Count Entry'!B610)</f>
        <v/>
      </c>
      <c r="C612">
        <f>IF($A612="","",'Blind Count Entry'!C610)</f>
        <v/>
      </c>
      <c r="D612">
        <f>IF($A612="","",'Blind Count Entry'!D610)</f>
        <v/>
      </c>
      <c r="E612">
        <f>IF($A612="","",IFERROR(INDEX('ABC Analysis'!$F:$F,MATCH($C612,'ABC Analysis'!$A:$A,0)),""))</f>
        <v/>
      </c>
      <c r="F612">
        <f>IF($A612="","",IFERROR(INDEX('Master Inventory'!$E:$E,MATCH($C612,'Master Inventory'!$A:$A,0)),0))</f>
        <v/>
      </c>
      <c r="G612">
        <f>IF($A612="","",'Blind Count Entry'!F610)</f>
        <v/>
      </c>
      <c r="H612">
        <f>IF($A612="","",G612-F612)</f>
        <v/>
      </c>
      <c r="I612" s="17">
        <f>IF($A612="","",IF(F612=0,IF(H612=0,0,1),ABS(H612)/F612))</f>
        <v/>
      </c>
      <c r="J612" s="18">
        <f>IF($A612="","",IF($E612="A",$E$1,IF($E612="B",$G$1,$I$1)))</f>
        <v/>
      </c>
      <c r="K612">
        <f>IF($A612="","",IF(H612=0,"MATCH",IF(I612&gt;J612,"RECOUNT","WITHIN TOLERANCE")))</f>
        <v/>
      </c>
      <c r="L612" s="5" t="n"/>
      <c r="M612">
        <f>IF(OR($A612="",$L612=""),"",L612-F612)</f>
        <v/>
      </c>
      <c r="N612" s="5" t="n"/>
      <c r="O612" s="5" t="n"/>
    </row>
    <row r="613">
      <c r="A613">
        <f>IF('Blind Count Entry'!A611="","",'Blind Count Entry'!A611)</f>
        <v/>
      </c>
      <c r="B613" s="16">
        <f>IF($A613="","",'Blind Count Entry'!B611)</f>
        <v/>
      </c>
      <c r="C613">
        <f>IF($A613="","",'Blind Count Entry'!C611)</f>
        <v/>
      </c>
      <c r="D613">
        <f>IF($A613="","",'Blind Count Entry'!D611)</f>
        <v/>
      </c>
      <c r="E613">
        <f>IF($A613="","",IFERROR(INDEX('ABC Analysis'!$F:$F,MATCH($C613,'ABC Analysis'!$A:$A,0)),""))</f>
        <v/>
      </c>
      <c r="F613">
        <f>IF($A613="","",IFERROR(INDEX('Master Inventory'!$E:$E,MATCH($C613,'Master Inventory'!$A:$A,0)),0))</f>
        <v/>
      </c>
      <c r="G613">
        <f>IF($A613="","",'Blind Count Entry'!F611)</f>
        <v/>
      </c>
      <c r="H613">
        <f>IF($A613="","",G613-F613)</f>
        <v/>
      </c>
      <c r="I613" s="17">
        <f>IF($A613="","",IF(F613=0,IF(H613=0,0,1),ABS(H613)/F613))</f>
        <v/>
      </c>
      <c r="J613" s="18">
        <f>IF($A613="","",IF($E613="A",$E$1,IF($E613="B",$G$1,$I$1)))</f>
        <v/>
      </c>
      <c r="K613">
        <f>IF($A613="","",IF(H613=0,"MATCH",IF(I613&gt;J613,"RECOUNT","WITHIN TOLERANCE")))</f>
        <v/>
      </c>
      <c r="L613" s="5" t="n"/>
      <c r="M613">
        <f>IF(OR($A613="",$L613=""),"",L613-F613)</f>
        <v/>
      </c>
      <c r="N613" s="5" t="n"/>
      <c r="O613" s="5" t="n"/>
    </row>
    <row r="614">
      <c r="A614">
        <f>IF('Blind Count Entry'!A612="","",'Blind Count Entry'!A612)</f>
        <v/>
      </c>
      <c r="B614" s="16">
        <f>IF($A614="","",'Blind Count Entry'!B612)</f>
        <v/>
      </c>
      <c r="C614">
        <f>IF($A614="","",'Blind Count Entry'!C612)</f>
        <v/>
      </c>
      <c r="D614">
        <f>IF($A614="","",'Blind Count Entry'!D612)</f>
        <v/>
      </c>
      <c r="E614">
        <f>IF($A614="","",IFERROR(INDEX('ABC Analysis'!$F:$F,MATCH($C614,'ABC Analysis'!$A:$A,0)),""))</f>
        <v/>
      </c>
      <c r="F614">
        <f>IF($A614="","",IFERROR(INDEX('Master Inventory'!$E:$E,MATCH($C614,'Master Inventory'!$A:$A,0)),0))</f>
        <v/>
      </c>
      <c r="G614">
        <f>IF($A614="","",'Blind Count Entry'!F612)</f>
        <v/>
      </c>
      <c r="H614">
        <f>IF($A614="","",G614-F614)</f>
        <v/>
      </c>
      <c r="I614" s="17">
        <f>IF($A614="","",IF(F614=0,IF(H614=0,0,1),ABS(H614)/F614))</f>
        <v/>
      </c>
      <c r="J614" s="18">
        <f>IF($A614="","",IF($E614="A",$E$1,IF($E614="B",$G$1,$I$1)))</f>
        <v/>
      </c>
      <c r="K614">
        <f>IF($A614="","",IF(H614=0,"MATCH",IF(I614&gt;J614,"RECOUNT","WITHIN TOLERANCE")))</f>
        <v/>
      </c>
      <c r="L614" s="5" t="n"/>
      <c r="M614">
        <f>IF(OR($A614="",$L614=""),"",L614-F614)</f>
        <v/>
      </c>
      <c r="N614" s="5" t="n"/>
      <c r="O614" s="5" t="n"/>
    </row>
    <row r="615">
      <c r="A615">
        <f>IF('Blind Count Entry'!A613="","",'Blind Count Entry'!A613)</f>
        <v/>
      </c>
      <c r="B615" s="16">
        <f>IF($A615="","",'Blind Count Entry'!B613)</f>
        <v/>
      </c>
      <c r="C615">
        <f>IF($A615="","",'Blind Count Entry'!C613)</f>
        <v/>
      </c>
      <c r="D615">
        <f>IF($A615="","",'Blind Count Entry'!D613)</f>
        <v/>
      </c>
      <c r="E615">
        <f>IF($A615="","",IFERROR(INDEX('ABC Analysis'!$F:$F,MATCH($C615,'ABC Analysis'!$A:$A,0)),""))</f>
        <v/>
      </c>
      <c r="F615">
        <f>IF($A615="","",IFERROR(INDEX('Master Inventory'!$E:$E,MATCH($C615,'Master Inventory'!$A:$A,0)),0))</f>
        <v/>
      </c>
      <c r="G615">
        <f>IF($A615="","",'Blind Count Entry'!F613)</f>
        <v/>
      </c>
      <c r="H615">
        <f>IF($A615="","",G615-F615)</f>
        <v/>
      </c>
      <c r="I615" s="17">
        <f>IF($A615="","",IF(F615=0,IF(H615=0,0,1),ABS(H615)/F615))</f>
        <v/>
      </c>
      <c r="J615" s="18">
        <f>IF($A615="","",IF($E615="A",$E$1,IF($E615="B",$G$1,$I$1)))</f>
        <v/>
      </c>
      <c r="K615">
        <f>IF($A615="","",IF(H615=0,"MATCH",IF(I615&gt;J615,"RECOUNT","WITHIN TOLERANCE")))</f>
        <v/>
      </c>
      <c r="L615" s="5" t="n"/>
      <c r="M615">
        <f>IF(OR($A615="",$L615=""),"",L615-F615)</f>
        <v/>
      </c>
      <c r="N615" s="5" t="n"/>
      <c r="O615" s="5" t="n"/>
    </row>
    <row r="616">
      <c r="A616">
        <f>IF('Blind Count Entry'!A614="","",'Blind Count Entry'!A614)</f>
        <v/>
      </c>
      <c r="B616" s="16">
        <f>IF($A616="","",'Blind Count Entry'!B614)</f>
        <v/>
      </c>
      <c r="C616">
        <f>IF($A616="","",'Blind Count Entry'!C614)</f>
        <v/>
      </c>
      <c r="D616">
        <f>IF($A616="","",'Blind Count Entry'!D614)</f>
        <v/>
      </c>
      <c r="E616">
        <f>IF($A616="","",IFERROR(INDEX('ABC Analysis'!$F:$F,MATCH($C616,'ABC Analysis'!$A:$A,0)),""))</f>
        <v/>
      </c>
      <c r="F616">
        <f>IF($A616="","",IFERROR(INDEX('Master Inventory'!$E:$E,MATCH($C616,'Master Inventory'!$A:$A,0)),0))</f>
        <v/>
      </c>
      <c r="G616">
        <f>IF($A616="","",'Blind Count Entry'!F614)</f>
        <v/>
      </c>
      <c r="H616">
        <f>IF($A616="","",G616-F616)</f>
        <v/>
      </c>
      <c r="I616" s="17">
        <f>IF($A616="","",IF(F616=0,IF(H616=0,0,1),ABS(H616)/F616))</f>
        <v/>
      </c>
      <c r="J616" s="18">
        <f>IF($A616="","",IF($E616="A",$E$1,IF($E616="B",$G$1,$I$1)))</f>
        <v/>
      </c>
      <c r="K616">
        <f>IF($A616="","",IF(H616=0,"MATCH",IF(I616&gt;J616,"RECOUNT","WITHIN TOLERANCE")))</f>
        <v/>
      </c>
      <c r="L616" s="5" t="n"/>
      <c r="M616">
        <f>IF(OR($A616="",$L616=""),"",L616-F616)</f>
        <v/>
      </c>
      <c r="N616" s="5" t="n"/>
      <c r="O616" s="5" t="n"/>
    </row>
    <row r="617">
      <c r="A617">
        <f>IF('Blind Count Entry'!A615="","",'Blind Count Entry'!A615)</f>
        <v/>
      </c>
      <c r="B617" s="16">
        <f>IF($A617="","",'Blind Count Entry'!B615)</f>
        <v/>
      </c>
      <c r="C617">
        <f>IF($A617="","",'Blind Count Entry'!C615)</f>
        <v/>
      </c>
      <c r="D617">
        <f>IF($A617="","",'Blind Count Entry'!D615)</f>
        <v/>
      </c>
      <c r="E617">
        <f>IF($A617="","",IFERROR(INDEX('ABC Analysis'!$F:$F,MATCH($C617,'ABC Analysis'!$A:$A,0)),""))</f>
        <v/>
      </c>
      <c r="F617">
        <f>IF($A617="","",IFERROR(INDEX('Master Inventory'!$E:$E,MATCH($C617,'Master Inventory'!$A:$A,0)),0))</f>
        <v/>
      </c>
      <c r="G617">
        <f>IF($A617="","",'Blind Count Entry'!F615)</f>
        <v/>
      </c>
      <c r="H617">
        <f>IF($A617="","",G617-F617)</f>
        <v/>
      </c>
      <c r="I617" s="17">
        <f>IF($A617="","",IF(F617=0,IF(H617=0,0,1),ABS(H617)/F617))</f>
        <v/>
      </c>
      <c r="J617" s="18">
        <f>IF($A617="","",IF($E617="A",$E$1,IF($E617="B",$G$1,$I$1)))</f>
        <v/>
      </c>
      <c r="K617">
        <f>IF($A617="","",IF(H617=0,"MATCH",IF(I617&gt;J617,"RECOUNT","WITHIN TOLERANCE")))</f>
        <v/>
      </c>
      <c r="L617" s="5" t="n"/>
      <c r="M617">
        <f>IF(OR($A617="",$L617=""),"",L617-F617)</f>
        <v/>
      </c>
      <c r="N617" s="5" t="n"/>
      <c r="O617" s="5" t="n"/>
    </row>
    <row r="618">
      <c r="A618">
        <f>IF('Blind Count Entry'!A616="","",'Blind Count Entry'!A616)</f>
        <v/>
      </c>
      <c r="B618" s="16">
        <f>IF($A618="","",'Blind Count Entry'!B616)</f>
        <v/>
      </c>
      <c r="C618">
        <f>IF($A618="","",'Blind Count Entry'!C616)</f>
        <v/>
      </c>
      <c r="D618">
        <f>IF($A618="","",'Blind Count Entry'!D616)</f>
        <v/>
      </c>
      <c r="E618">
        <f>IF($A618="","",IFERROR(INDEX('ABC Analysis'!$F:$F,MATCH($C618,'ABC Analysis'!$A:$A,0)),""))</f>
        <v/>
      </c>
      <c r="F618">
        <f>IF($A618="","",IFERROR(INDEX('Master Inventory'!$E:$E,MATCH($C618,'Master Inventory'!$A:$A,0)),0))</f>
        <v/>
      </c>
      <c r="G618">
        <f>IF($A618="","",'Blind Count Entry'!F616)</f>
        <v/>
      </c>
      <c r="H618">
        <f>IF($A618="","",G618-F618)</f>
        <v/>
      </c>
      <c r="I618" s="17">
        <f>IF($A618="","",IF(F618=0,IF(H618=0,0,1),ABS(H618)/F618))</f>
        <v/>
      </c>
      <c r="J618" s="18">
        <f>IF($A618="","",IF($E618="A",$E$1,IF($E618="B",$G$1,$I$1)))</f>
        <v/>
      </c>
      <c r="K618">
        <f>IF($A618="","",IF(H618=0,"MATCH",IF(I618&gt;J618,"RECOUNT","WITHIN TOLERANCE")))</f>
        <v/>
      </c>
      <c r="L618" s="5" t="n"/>
      <c r="M618">
        <f>IF(OR($A618="",$L618=""),"",L618-F618)</f>
        <v/>
      </c>
      <c r="N618" s="5" t="n"/>
      <c r="O618" s="5" t="n"/>
    </row>
    <row r="619">
      <c r="A619">
        <f>IF('Blind Count Entry'!A617="","",'Blind Count Entry'!A617)</f>
        <v/>
      </c>
      <c r="B619" s="16">
        <f>IF($A619="","",'Blind Count Entry'!B617)</f>
        <v/>
      </c>
      <c r="C619">
        <f>IF($A619="","",'Blind Count Entry'!C617)</f>
        <v/>
      </c>
      <c r="D619">
        <f>IF($A619="","",'Blind Count Entry'!D617)</f>
        <v/>
      </c>
      <c r="E619">
        <f>IF($A619="","",IFERROR(INDEX('ABC Analysis'!$F:$F,MATCH($C619,'ABC Analysis'!$A:$A,0)),""))</f>
        <v/>
      </c>
      <c r="F619">
        <f>IF($A619="","",IFERROR(INDEX('Master Inventory'!$E:$E,MATCH($C619,'Master Inventory'!$A:$A,0)),0))</f>
        <v/>
      </c>
      <c r="G619">
        <f>IF($A619="","",'Blind Count Entry'!F617)</f>
        <v/>
      </c>
      <c r="H619">
        <f>IF($A619="","",G619-F619)</f>
        <v/>
      </c>
      <c r="I619" s="17">
        <f>IF($A619="","",IF(F619=0,IF(H619=0,0,1),ABS(H619)/F619))</f>
        <v/>
      </c>
      <c r="J619" s="18">
        <f>IF($A619="","",IF($E619="A",$E$1,IF($E619="B",$G$1,$I$1)))</f>
        <v/>
      </c>
      <c r="K619">
        <f>IF($A619="","",IF(H619=0,"MATCH",IF(I619&gt;J619,"RECOUNT","WITHIN TOLERANCE")))</f>
        <v/>
      </c>
      <c r="L619" s="5" t="n"/>
      <c r="M619">
        <f>IF(OR($A619="",$L619=""),"",L619-F619)</f>
        <v/>
      </c>
      <c r="N619" s="5" t="n"/>
      <c r="O619" s="5" t="n"/>
    </row>
    <row r="620">
      <c r="A620">
        <f>IF('Blind Count Entry'!A618="","",'Blind Count Entry'!A618)</f>
        <v/>
      </c>
      <c r="B620" s="16">
        <f>IF($A620="","",'Blind Count Entry'!B618)</f>
        <v/>
      </c>
      <c r="C620">
        <f>IF($A620="","",'Blind Count Entry'!C618)</f>
        <v/>
      </c>
      <c r="D620">
        <f>IF($A620="","",'Blind Count Entry'!D618)</f>
        <v/>
      </c>
      <c r="E620">
        <f>IF($A620="","",IFERROR(INDEX('ABC Analysis'!$F:$F,MATCH($C620,'ABC Analysis'!$A:$A,0)),""))</f>
        <v/>
      </c>
      <c r="F620">
        <f>IF($A620="","",IFERROR(INDEX('Master Inventory'!$E:$E,MATCH($C620,'Master Inventory'!$A:$A,0)),0))</f>
        <v/>
      </c>
      <c r="G620">
        <f>IF($A620="","",'Blind Count Entry'!F618)</f>
        <v/>
      </c>
      <c r="H620">
        <f>IF($A620="","",G620-F620)</f>
        <v/>
      </c>
      <c r="I620" s="17">
        <f>IF($A620="","",IF(F620=0,IF(H620=0,0,1),ABS(H620)/F620))</f>
        <v/>
      </c>
      <c r="J620" s="18">
        <f>IF($A620="","",IF($E620="A",$E$1,IF($E620="B",$G$1,$I$1)))</f>
        <v/>
      </c>
      <c r="K620">
        <f>IF($A620="","",IF(H620=0,"MATCH",IF(I620&gt;J620,"RECOUNT","WITHIN TOLERANCE")))</f>
        <v/>
      </c>
      <c r="L620" s="5" t="n"/>
      <c r="M620">
        <f>IF(OR($A620="",$L620=""),"",L620-F620)</f>
        <v/>
      </c>
      <c r="N620" s="5" t="n"/>
      <c r="O620" s="5" t="n"/>
    </row>
    <row r="621">
      <c r="A621">
        <f>IF('Blind Count Entry'!A619="","",'Blind Count Entry'!A619)</f>
        <v/>
      </c>
      <c r="B621" s="16">
        <f>IF($A621="","",'Blind Count Entry'!B619)</f>
        <v/>
      </c>
      <c r="C621">
        <f>IF($A621="","",'Blind Count Entry'!C619)</f>
        <v/>
      </c>
      <c r="D621">
        <f>IF($A621="","",'Blind Count Entry'!D619)</f>
        <v/>
      </c>
      <c r="E621">
        <f>IF($A621="","",IFERROR(INDEX('ABC Analysis'!$F:$F,MATCH($C621,'ABC Analysis'!$A:$A,0)),""))</f>
        <v/>
      </c>
      <c r="F621">
        <f>IF($A621="","",IFERROR(INDEX('Master Inventory'!$E:$E,MATCH($C621,'Master Inventory'!$A:$A,0)),0))</f>
        <v/>
      </c>
      <c r="G621">
        <f>IF($A621="","",'Blind Count Entry'!F619)</f>
        <v/>
      </c>
      <c r="H621">
        <f>IF($A621="","",G621-F621)</f>
        <v/>
      </c>
      <c r="I621" s="17">
        <f>IF($A621="","",IF(F621=0,IF(H621=0,0,1),ABS(H621)/F621))</f>
        <v/>
      </c>
      <c r="J621" s="18">
        <f>IF($A621="","",IF($E621="A",$E$1,IF($E621="B",$G$1,$I$1)))</f>
        <v/>
      </c>
      <c r="K621">
        <f>IF($A621="","",IF(H621=0,"MATCH",IF(I621&gt;J621,"RECOUNT","WITHIN TOLERANCE")))</f>
        <v/>
      </c>
      <c r="L621" s="5" t="n"/>
      <c r="M621">
        <f>IF(OR($A621="",$L621=""),"",L621-F621)</f>
        <v/>
      </c>
      <c r="N621" s="5" t="n"/>
      <c r="O621" s="5" t="n"/>
    </row>
    <row r="622">
      <c r="A622">
        <f>IF('Blind Count Entry'!A620="","",'Blind Count Entry'!A620)</f>
        <v/>
      </c>
      <c r="B622" s="16">
        <f>IF($A622="","",'Blind Count Entry'!B620)</f>
        <v/>
      </c>
      <c r="C622">
        <f>IF($A622="","",'Blind Count Entry'!C620)</f>
        <v/>
      </c>
      <c r="D622">
        <f>IF($A622="","",'Blind Count Entry'!D620)</f>
        <v/>
      </c>
      <c r="E622">
        <f>IF($A622="","",IFERROR(INDEX('ABC Analysis'!$F:$F,MATCH($C622,'ABC Analysis'!$A:$A,0)),""))</f>
        <v/>
      </c>
      <c r="F622">
        <f>IF($A622="","",IFERROR(INDEX('Master Inventory'!$E:$E,MATCH($C622,'Master Inventory'!$A:$A,0)),0))</f>
        <v/>
      </c>
      <c r="G622">
        <f>IF($A622="","",'Blind Count Entry'!F620)</f>
        <v/>
      </c>
      <c r="H622">
        <f>IF($A622="","",G622-F622)</f>
        <v/>
      </c>
      <c r="I622" s="17">
        <f>IF($A622="","",IF(F622=0,IF(H622=0,0,1),ABS(H622)/F622))</f>
        <v/>
      </c>
      <c r="J622" s="18">
        <f>IF($A622="","",IF($E622="A",$E$1,IF($E622="B",$G$1,$I$1)))</f>
        <v/>
      </c>
      <c r="K622">
        <f>IF($A622="","",IF(H622=0,"MATCH",IF(I622&gt;J622,"RECOUNT","WITHIN TOLERANCE")))</f>
        <v/>
      </c>
      <c r="L622" s="5" t="n"/>
      <c r="M622">
        <f>IF(OR($A622="",$L622=""),"",L622-F622)</f>
        <v/>
      </c>
      <c r="N622" s="5" t="n"/>
      <c r="O622" s="5" t="n"/>
    </row>
    <row r="623">
      <c r="A623">
        <f>IF('Blind Count Entry'!A621="","",'Blind Count Entry'!A621)</f>
        <v/>
      </c>
      <c r="B623" s="16">
        <f>IF($A623="","",'Blind Count Entry'!B621)</f>
        <v/>
      </c>
      <c r="C623">
        <f>IF($A623="","",'Blind Count Entry'!C621)</f>
        <v/>
      </c>
      <c r="D623">
        <f>IF($A623="","",'Blind Count Entry'!D621)</f>
        <v/>
      </c>
      <c r="E623">
        <f>IF($A623="","",IFERROR(INDEX('ABC Analysis'!$F:$F,MATCH($C623,'ABC Analysis'!$A:$A,0)),""))</f>
        <v/>
      </c>
      <c r="F623">
        <f>IF($A623="","",IFERROR(INDEX('Master Inventory'!$E:$E,MATCH($C623,'Master Inventory'!$A:$A,0)),0))</f>
        <v/>
      </c>
      <c r="G623">
        <f>IF($A623="","",'Blind Count Entry'!F621)</f>
        <v/>
      </c>
      <c r="H623">
        <f>IF($A623="","",G623-F623)</f>
        <v/>
      </c>
      <c r="I623" s="17">
        <f>IF($A623="","",IF(F623=0,IF(H623=0,0,1),ABS(H623)/F623))</f>
        <v/>
      </c>
      <c r="J623" s="18">
        <f>IF($A623="","",IF($E623="A",$E$1,IF($E623="B",$G$1,$I$1)))</f>
        <v/>
      </c>
      <c r="K623">
        <f>IF($A623="","",IF(H623=0,"MATCH",IF(I623&gt;J623,"RECOUNT","WITHIN TOLERANCE")))</f>
        <v/>
      </c>
      <c r="L623" s="5" t="n"/>
      <c r="M623">
        <f>IF(OR($A623="",$L623=""),"",L623-F623)</f>
        <v/>
      </c>
      <c r="N623" s="5" t="n"/>
      <c r="O623" s="5" t="n"/>
    </row>
    <row r="624">
      <c r="A624">
        <f>IF('Blind Count Entry'!A622="","",'Blind Count Entry'!A622)</f>
        <v/>
      </c>
      <c r="B624" s="16">
        <f>IF($A624="","",'Blind Count Entry'!B622)</f>
        <v/>
      </c>
      <c r="C624">
        <f>IF($A624="","",'Blind Count Entry'!C622)</f>
        <v/>
      </c>
      <c r="D624">
        <f>IF($A624="","",'Blind Count Entry'!D622)</f>
        <v/>
      </c>
      <c r="E624">
        <f>IF($A624="","",IFERROR(INDEX('ABC Analysis'!$F:$F,MATCH($C624,'ABC Analysis'!$A:$A,0)),""))</f>
        <v/>
      </c>
      <c r="F624">
        <f>IF($A624="","",IFERROR(INDEX('Master Inventory'!$E:$E,MATCH($C624,'Master Inventory'!$A:$A,0)),0))</f>
        <v/>
      </c>
      <c r="G624">
        <f>IF($A624="","",'Blind Count Entry'!F622)</f>
        <v/>
      </c>
      <c r="H624">
        <f>IF($A624="","",G624-F624)</f>
        <v/>
      </c>
      <c r="I624" s="17">
        <f>IF($A624="","",IF(F624=0,IF(H624=0,0,1),ABS(H624)/F624))</f>
        <v/>
      </c>
      <c r="J624" s="18">
        <f>IF($A624="","",IF($E624="A",$E$1,IF($E624="B",$G$1,$I$1)))</f>
        <v/>
      </c>
      <c r="K624">
        <f>IF($A624="","",IF(H624=0,"MATCH",IF(I624&gt;J624,"RECOUNT","WITHIN TOLERANCE")))</f>
        <v/>
      </c>
      <c r="L624" s="5" t="n"/>
      <c r="M624">
        <f>IF(OR($A624="",$L624=""),"",L624-F624)</f>
        <v/>
      </c>
      <c r="N624" s="5" t="n"/>
      <c r="O624" s="5" t="n"/>
    </row>
    <row r="625">
      <c r="A625">
        <f>IF('Blind Count Entry'!A623="","",'Blind Count Entry'!A623)</f>
        <v/>
      </c>
      <c r="B625" s="16">
        <f>IF($A625="","",'Blind Count Entry'!B623)</f>
        <v/>
      </c>
      <c r="C625">
        <f>IF($A625="","",'Blind Count Entry'!C623)</f>
        <v/>
      </c>
      <c r="D625">
        <f>IF($A625="","",'Blind Count Entry'!D623)</f>
        <v/>
      </c>
      <c r="E625">
        <f>IF($A625="","",IFERROR(INDEX('ABC Analysis'!$F:$F,MATCH($C625,'ABC Analysis'!$A:$A,0)),""))</f>
        <v/>
      </c>
      <c r="F625">
        <f>IF($A625="","",IFERROR(INDEX('Master Inventory'!$E:$E,MATCH($C625,'Master Inventory'!$A:$A,0)),0))</f>
        <v/>
      </c>
      <c r="G625">
        <f>IF($A625="","",'Blind Count Entry'!F623)</f>
        <v/>
      </c>
      <c r="H625">
        <f>IF($A625="","",G625-F625)</f>
        <v/>
      </c>
      <c r="I625" s="17">
        <f>IF($A625="","",IF(F625=0,IF(H625=0,0,1),ABS(H625)/F625))</f>
        <v/>
      </c>
      <c r="J625" s="18">
        <f>IF($A625="","",IF($E625="A",$E$1,IF($E625="B",$G$1,$I$1)))</f>
        <v/>
      </c>
      <c r="K625">
        <f>IF($A625="","",IF(H625=0,"MATCH",IF(I625&gt;J625,"RECOUNT","WITHIN TOLERANCE")))</f>
        <v/>
      </c>
      <c r="L625" s="5" t="n"/>
      <c r="M625">
        <f>IF(OR($A625="",$L625=""),"",L625-F625)</f>
        <v/>
      </c>
      <c r="N625" s="5" t="n"/>
      <c r="O625" s="5" t="n"/>
    </row>
    <row r="626">
      <c r="A626">
        <f>IF('Blind Count Entry'!A624="","",'Blind Count Entry'!A624)</f>
        <v/>
      </c>
      <c r="B626" s="16">
        <f>IF($A626="","",'Blind Count Entry'!B624)</f>
        <v/>
      </c>
      <c r="C626">
        <f>IF($A626="","",'Blind Count Entry'!C624)</f>
        <v/>
      </c>
      <c r="D626">
        <f>IF($A626="","",'Blind Count Entry'!D624)</f>
        <v/>
      </c>
      <c r="E626">
        <f>IF($A626="","",IFERROR(INDEX('ABC Analysis'!$F:$F,MATCH($C626,'ABC Analysis'!$A:$A,0)),""))</f>
        <v/>
      </c>
      <c r="F626">
        <f>IF($A626="","",IFERROR(INDEX('Master Inventory'!$E:$E,MATCH($C626,'Master Inventory'!$A:$A,0)),0))</f>
        <v/>
      </c>
      <c r="G626">
        <f>IF($A626="","",'Blind Count Entry'!F624)</f>
        <v/>
      </c>
      <c r="H626">
        <f>IF($A626="","",G626-F626)</f>
        <v/>
      </c>
      <c r="I626" s="17">
        <f>IF($A626="","",IF(F626=0,IF(H626=0,0,1),ABS(H626)/F626))</f>
        <v/>
      </c>
      <c r="J626" s="18">
        <f>IF($A626="","",IF($E626="A",$E$1,IF($E626="B",$G$1,$I$1)))</f>
        <v/>
      </c>
      <c r="K626">
        <f>IF($A626="","",IF(H626=0,"MATCH",IF(I626&gt;J626,"RECOUNT","WITHIN TOLERANCE")))</f>
        <v/>
      </c>
      <c r="L626" s="5" t="n"/>
      <c r="M626">
        <f>IF(OR($A626="",$L626=""),"",L626-F626)</f>
        <v/>
      </c>
      <c r="N626" s="5" t="n"/>
      <c r="O626" s="5" t="n"/>
    </row>
    <row r="627">
      <c r="A627">
        <f>IF('Blind Count Entry'!A625="","",'Blind Count Entry'!A625)</f>
        <v/>
      </c>
      <c r="B627" s="16">
        <f>IF($A627="","",'Blind Count Entry'!B625)</f>
        <v/>
      </c>
      <c r="C627">
        <f>IF($A627="","",'Blind Count Entry'!C625)</f>
        <v/>
      </c>
      <c r="D627">
        <f>IF($A627="","",'Blind Count Entry'!D625)</f>
        <v/>
      </c>
      <c r="E627">
        <f>IF($A627="","",IFERROR(INDEX('ABC Analysis'!$F:$F,MATCH($C627,'ABC Analysis'!$A:$A,0)),""))</f>
        <v/>
      </c>
      <c r="F627">
        <f>IF($A627="","",IFERROR(INDEX('Master Inventory'!$E:$E,MATCH($C627,'Master Inventory'!$A:$A,0)),0))</f>
        <v/>
      </c>
      <c r="G627">
        <f>IF($A627="","",'Blind Count Entry'!F625)</f>
        <v/>
      </c>
      <c r="H627">
        <f>IF($A627="","",G627-F627)</f>
        <v/>
      </c>
      <c r="I627" s="17">
        <f>IF($A627="","",IF(F627=0,IF(H627=0,0,1),ABS(H627)/F627))</f>
        <v/>
      </c>
      <c r="J627" s="18">
        <f>IF($A627="","",IF($E627="A",$E$1,IF($E627="B",$G$1,$I$1)))</f>
        <v/>
      </c>
      <c r="K627">
        <f>IF($A627="","",IF(H627=0,"MATCH",IF(I627&gt;J627,"RECOUNT","WITHIN TOLERANCE")))</f>
        <v/>
      </c>
      <c r="L627" s="5" t="n"/>
      <c r="M627">
        <f>IF(OR($A627="",$L627=""),"",L627-F627)</f>
        <v/>
      </c>
      <c r="N627" s="5" t="n"/>
      <c r="O627" s="5" t="n"/>
    </row>
    <row r="628">
      <c r="A628">
        <f>IF('Blind Count Entry'!A626="","",'Blind Count Entry'!A626)</f>
        <v/>
      </c>
      <c r="B628" s="16">
        <f>IF($A628="","",'Blind Count Entry'!B626)</f>
        <v/>
      </c>
      <c r="C628">
        <f>IF($A628="","",'Blind Count Entry'!C626)</f>
        <v/>
      </c>
      <c r="D628">
        <f>IF($A628="","",'Blind Count Entry'!D626)</f>
        <v/>
      </c>
      <c r="E628">
        <f>IF($A628="","",IFERROR(INDEX('ABC Analysis'!$F:$F,MATCH($C628,'ABC Analysis'!$A:$A,0)),""))</f>
        <v/>
      </c>
      <c r="F628">
        <f>IF($A628="","",IFERROR(INDEX('Master Inventory'!$E:$E,MATCH($C628,'Master Inventory'!$A:$A,0)),0))</f>
        <v/>
      </c>
      <c r="G628">
        <f>IF($A628="","",'Blind Count Entry'!F626)</f>
        <v/>
      </c>
      <c r="H628">
        <f>IF($A628="","",G628-F628)</f>
        <v/>
      </c>
      <c r="I628" s="17">
        <f>IF($A628="","",IF(F628=0,IF(H628=0,0,1),ABS(H628)/F628))</f>
        <v/>
      </c>
      <c r="J628" s="18">
        <f>IF($A628="","",IF($E628="A",$E$1,IF($E628="B",$G$1,$I$1)))</f>
        <v/>
      </c>
      <c r="K628">
        <f>IF($A628="","",IF(H628=0,"MATCH",IF(I628&gt;J628,"RECOUNT","WITHIN TOLERANCE")))</f>
        <v/>
      </c>
      <c r="L628" s="5" t="n"/>
      <c r="M628">
        <f>IF(OR($A628="",$L628=""),"",L628-F628)</f>
        <v/>
      </c>
      <c r="N628" s="5" t="n"/>
      <c r="O628" s="5" t="n"/>
    </row>
    <row r="629">
      <c r="A629">
        <f>IF('Blind Count Entry'!A627="","",'Blind Count Entry'!A627)</f>
        <v/>
      </c>
      <c r="B629" s="16">
        <f>IF($A629="","",'Blind Count Entry'!B627)</f>
        <v/>
      </c>
      <c r="C629">
        <f>IF($A629="","",'Blind Count Entry'!C627)</f>
        <v/>
      </c>
      <c r="D629">
        <f>IF($A629="","",'Blind Count Entry'!D627)</f>
        <v/>
      </c>
      <c r="E629">
        <f>IF($A629="","",IFERROR(INDEX('ABC Analysis'!$F:$F,MATCH($C629,'ABC Analysis'!$A:$A,0)),""))</f>
        <v/>
      </c>
      <c r="F629">
        <f>IF($A629="","",IFERROR(INDEX('Master Inventory'!$E:$E,MATCH($C629,'Master Inventory'!$A:$A,0)),0))</f>
        <v/>
      </c>
      <c r="G629">
        <f>IF($A629="","",'Blind Count Entry'!F627)</f>
        <v/>
      </c>
      <c r="H629">
        <f>IF($A629="","",G629-F629)</f>
        <v/>
      </c>
      <c r="I629" s="17">
        <f>IF($A629="","",IF(F629=0,IF(H629=0,0,1),ABS(H629)/F629))</f>
        <v/>
      </c>
      <c r="J629" s="18">
        <f>IF($A629="","",IF($E629="A",$E$1,IF($E629="B",$G$1,$I$1)))</f>
        <v/>
      </c>
      <c r="K629">
        <f>IF($A629="","",IF(H629=0,"MATCH",IF(I629&gt;J629,"RECOUNT","WITHIN TOLERANCE")))</f>
        <v/>
      </c>
      <c r="L629" s="5" t="n"/>
      <c r="M629">
        <f>IF(OR($A629="",$L629=""),"",L629-F629)</f>
        <v/>
      </c>
      <c r="N629" s="5" t="n"/>
      <c r="O629" s="5" t="n"/>
    </row>
    <row r="630">
      <c r="A630">
        <f>IF('Blind Count Entry'!A628="","",'Blind Count Entry'!A628)</f>
        <v/>
      </c>
      <c r="B630" s="16">
        <f>IF($A630="","",'Blind Count Entry'!B628)</f>
        <v/>
      </c>
      <c r="C630">
        <f>IF($A630="","",'Blind Count Entry'!C628)</f>
        <v/>
      </c>
      <c r="D630">
        <f>IF($A630="","",'Blind Count Entry'!D628)</f>
        <v/>
      </c>
      <c r="E630">
        <f>IF($A630="","",IFERROR(INDEX('ABC Analysis'!$F:$F,MATCH($C630,'ABC Analysis'!$A:$A,0)),""))</f>
        <v/>
      </c>
      <c r="F630">
        <f>IF($A630="","",IFERROR(INDEX('Master Inventory'!$E:$E,MATCH($C630,'Master Inventory'!$A:$A,0)),0))</f>
        <v/>
      </c>
      <c r="G630">
        <f>IF($A630="","",'Blind Count Entry'!F628)</f>
        <v/>
      </c>
      <c r="H630">
        <f>IF($A630="","",G630-F630)</f>
        <v/>
      </c>
      <c r="I630" s="17">
        <f>IF($A630="","",IF(F630=0,IF(H630=0,0,1),ABS(H630)/F630))</f>
        <v/>
      </c>
      <c r="J630" s="18">
        <f>IF($A630="","",IF($E630="A",$E$1,IF($E630="B",$G$1,$I$1)))</f>
        <v/>
      </c>
      <c r="K630">
        <f>IF($A630="","",IF(H630=0,"MATCH",IF(I630&gt;J630,"RECOUNT","WITHIN TOLERANCE")))</f>
        <v/>
      </c>
      <c r="L630" s="5" t="n"/>
      <c r="M630">
        <f>IF(OR($A630="",$L630=""),"",L630-F630)</f>
        <v/>
      </c>
      <c r="N630" s="5" t="n"/>
      <c r="O630" s="5" t="n"/>
    </row>
    <row r="631">
      <c r="A631">
        <f>IF('Blind Count Entry'!A629="","",'Blind Count Entry'!A629)</f>
        <v/>
      </c>
      <c r="B631" s="16">
        <f>IF($A631="","",'Blind Count Entry'!B629)</f>
        <v/>
      </c>
      <c r="C631">
        <f>IF($A631="","",'Blind Count Entry'!C629)</f>
        <v/>
      </c>
      <c r="D631">
        <f>IF($A631="","",'Blind Count Entry'!D629)</f>
        <v/>
      </c>
      <c r="E631">
        <f>IF($A631="","",IFERROR(INDEX('ABC Analysis'!$F:$F,MATCH($C631,'ABC Analysis'!$A:$A,0)),""))</f>
        <v/>
      </c>
      <c r="F631">
        <f>IF($A631="","",IFERROR(INDEX('Master Inventory'!$E:$E,MATCH($C631,'Master Inventory'!$A:$A,0)),0))</f>
        <v/>
      </c>
      <c r="G631">
        <f>IF($A631="","",'Blind Count Entry'!F629)</f>
        <v/>
      </c>
      <c r="H631">
        <f>IF($A631="","",G631-F631)</f>
        <v/>
      </c>
      <c r="I631" s="17">
        <f>IF($A631="","",IF(F631=0,IF(H631=0,0,1),ABS(H631)/F631))</f>
        <v/>
      </c>
      <c r="J631" s="18">
        <f>IF($A631="","",IF($E631="A",$E$1,IF($E631="B",$G$1,$I$1)))</f>
        <v/>
      </c>
      <c r="K631">
        <f>IF($A631="","",IF(H631=0,"MATCH",IF(I631&gt;J631,"RECOUNT","WITHIN TOLERANCE")))</f>
        <v/>
      </c>
      <c r="L631" s="5" t="n"/>
      <c r="M631">
        <f>IF(OR($A631="",$L631=""),"",L631-F631)</f>
        <v/>
      </c>
      <c r="N631" s="5" t="n"/>
      <c r="O631" s="5" t="n"/>
    </row>
    <row r="632">
      <c r="A632">
        <f>IF('Blind Count Entry'!A630="","",'Blind Count Entry'!A630)</f>
        <v/>
      </c>
      <c r="B632" s="16">
        <f>IF($A632="","",'Blind Count Entry'!B630)</f>
        <v/>
      </c>
      <c r="C632">
        <f>IF($A632="","",'Blind Count Entry'!C630)</f>
        <v/>
      </c>
      <c r="D632">
        <f>IF($A632="","",'Blind Count Entry'!D630)</f>
        <v/>
      </c>
      <c r="E632">
        <f>IF($A632="","",IFERROR(INDEX('ABC Analysis'!$F:$F,MATCH($C632,'ABC Analysis'!$A:$A,0)),""))</f>
        <v/>
      </c>
      <c r="F632">
        <f>IF($A632="","",IFERROR(INDEX('Master Inventory'!$E:$E,MATCH($C632,'Master Inventory'!$A:$A,0)),0))</f>
        <v/>
      </c>
      <c r="G632">
        <f>IF($A632="","",'Blind Count Entry'!F630)</f>
        <v/>
      </c>
      <c r="H632">
        <f>IF($A632="","",G632-F632)</f>
        <v/>
      </c>
      <c r="I632" s="17">
        <f>IF($A632="","",IF(F632=0,IF(H632=0,0,1),ABS(H632)/F632))</f>
        <v/>
      </c>
      <c r="J632" s="18">
        <f>IF($A632="","",IF($E632="A",$E$1,IF($E632="B",$G$1,$I$1)))</f>
        <v/>
      </c>
      <c r="K632">
        <f>IF($A632="","",IF(H632=0,"MATCH",IF(I632&gt;J632,"RECOUNT","WITHIN TOLERANCE")))</f>
        <v/>
      </c>
      <c r="L632" s="5" t="n"/>
      <c r="M632">
        <f>IF(OR($A632="",$L632=""),"",L632-F632)</f>
        <v/>
      </c>
      <c r="N632" s="5" t="n"/>
      <c r="O632" s="5" t="n"/>
    </row>
    <row r="633">
      <c r="A633">
        <f>IF('Blind Count Entry'!A631="","",'Blind Count Entry'!A631)</f>
        <v/>
      </c>
      <c r="B633" s="16">
        <f>IF($A633="","",'Blind Count Entry'!B631)</f>
        <v/>
      </c>
      <c r="C633">
        <f>IF($A633="","",'Blind Count Entry'!C631)</f>
        <v/>
      </c>
      <c r="D633">
        <f>IF($A633="","",'Blind Count Entry'!D631)</f>
        <v/>
      </c>
      <c r="E633">
        <f>IF($A633="","",IFERROR(INDEX('ABC Analysis'!$F:$F,MATCH($C633,'ABC Analysis'!$A:$A,0)),""))</f>
        <v/>
      </c>
      <c r="F633">
        <f>IF($A633="","",IFERROR(INDEX('Master Inventory'!$E:$E,MATCH($C633,'Master Inventory'!$A:$A,0)),0))</f>
        <v/>
      </c>
      <c r="G633">
        <f>IF($A633="","",'Blind Count Entry'!F631)</f>
        <v/>
      </c>
      <c r="H633">
        <f>IF($A633="","",G633-F633)</f>
        <v/>
      </c>
      <c r="I633" s="17">
        <f>IF($A633="","",IF(F633=0,IF(H633=0,0,1),ABS(H633)/F633))</f>
        <v/>
      </c>
      <c r="J633" s="18">
        <f>IF($A633="","",IF($E633="A",$E$1,IF($E633="B",$G$1,$I$1)))</f>
        <v/>
      </c>
      <c r="K633">
        <f>IF($A633="","",IF(H633=0,"MATCH",IF(I633&gt;J633,"RECOUNT","WITHIN TOLERANCE")))</f>
        <v/>
      </c>
      <c r="L633" s="5" t="n"/>
      <c r="M633">
        <f>IF(OR($A633="",$L633=""),"",L633-F633)</f>
        <v/>
      </c>
      <c r="N633" s="5" t="n"/>
      <c r="O633" s="5" t="n"/>
    </row>
    <row r="634">
      <c r="A634">
        <f>IF('Blind Count Entry'!A632="","",'Blind Count Entry'!A632)</f>
        <v/>
      </c>
      <c r="B634" s="16">
        <f>IF($A634="","",'Blind Count Entry'!B632)</f>
        <v/>
      </c>
      <c r="C634">
        <f>IF($A634="","",'Blind Count Entry'!C632)</f>
        <v/>
      </c>
      <c r="D634">
        <f>IF($A634="","",'Blind Count Entry'!D632)</f>
        <v/>
      </c>
      <c r="E634">
        <f>IF($A634="","",IFERROR(INDEX('ABC Analysis'!$F:$F,MATCH($C634,'ABC Analysis'!$A:$A,0)),""))</f>
        <v/>
      </c>
      <c r="F634">
        <f>IF($A634="","",IFERROR(INDEX('Master Inventory'!$E:$E,MATCH($C634,'Master Inventory'!$A:$A,0)),0))</f>
        <v/>
      </c>
      <c r="G634">
        <f>IF($A634="","",'Blind Count Entry'!F632)</f>
        <v/>
      </c>
      <c r="H634">
        <f>IF($A634="","",G634-F634)</f>
        <v/>
      </c>
      <c r="I634" s="17">
        <f>IF($A634="","",IF(F634=0,IF(H634=0,0,1),ABS(H634)/F634))</f>
        <v/>
      </c>
      <c r="J634" s="18">
        <f>IF($A634="","",IF($E634="A",$E$1,IF($E634="B",$G$1,$I$1)))</f>
        <v/>
      </c>
      <c r="K634">
        <f>IF($A634="","",IF(H634=0,"MATCH",IF(I634&gt;J634,"RECOUNT","WITHIN TOLERANCE")))</f>
        <v/>
      </c>
      <c r="L634" s="5" t="n"/>
      <c r="M634">
        <f>IF(OR($A634="",$L634=""),"",L634-F634)</f>
        <v/>
      </c>
      <c r="N634" s="5" t="n"/>
      <c r="O634" s="5" t="n"/>
    </row>
    <row r="635">
      <c r="A635">
        <f>IF('Blind Count Entry'!A633="","",'Blind Count Entry'!A633)</f>
        <v/>
      </c>
      <c r="B635" s="16">
        <f>IF($A635="","",'Blind Count Entry'!B633)</f>
        <v/>
      </c>
      <c r="C635">
        <f>IF($A635="","",'Blind Count Entry'!C633)</f>
        <v/>
      </c>
      <c r="D635">
        <f>IF($A635="","",'Blind Count Entry'!D633)</f>
        <v/>
      </c>
      <c r="E635">
        <f>IF($A635="","",IFERROR(INDEX('ABC Analysis'!$F:$F,MATCH($C635,'ABC Analysis'!$A:$A,0)),""))</f>
        <v/>
      </c>
      <c r="F635">
        <f>IF($A635="","",IFERROR(INDEX('Master Inventory'!$E:$E,MATCH($C635,'Master Inventory'!$A:$A,0)),0))</f>
        <v/>
      </c>
      <c r="G635">
        <f>IF($A635="","",'Blind Count Entry'!F633)</f>
        <v/>
      </c>
      <c r="H635">
        <f>IF($A635="","",G635-F635)</f>
        <v/>
      </c>
      <c r="I635" s="17">
        <f>IF($A635="","",IF(F635=0,IF(H635=0,0,1),ABS(H635)/F635))</f>
        <v/>
      </c>
      <c r="J635" s="18">
        <f>IF($A635="","",IF($E635="A",$E$1,IF($E635="B",$G$1,$I$1)))</f>
        <v/>
      </c>
      <c r="K635">
        <f>IF($A635="","",IF(H635=0,"MATCH",IF(I635&gt;J635,"RECOUNT","WITHIN TOLERANCE")))</f>
        <v/>
      </c>
      <c r="L635" s="5" t="n"/>
      <c r="M635">
        <f>IF(OR($A635="",$L635=""),"",L635-F635)</f>
        <v/>
      </c>
      <c r="N635" s="5" t="n"/>
      <c r="O635" s="5" t="n"/>
    </row>
    <row r="636">
      <c r="A636">
        <f>IF('Blind Count Entry'!A634="","",'Blind Count Entry'!A634)</f>
        <v/>
      </c>
      <c r="B636" s="16">
        <f>IF($A636="","",'Blind Count Entry'!B634)</f>
        <v/>
      </c>
      <c r="C636">
        <f>IF($A636="","",'Blind Count Entry'!C634)</f>
        <v/>
      </c>
      <c r="D636">
        <f>IF($A636="","",'Blind Count Entry'!D634)</f>
        <v/>
      </c>
      <c r="E636">
        <f>IF($A636="","",IFERROR(INDEX('ABC Analysis'!$F:$F,MATCH($C636,'ABC Analysis'!$A:$A,0)),""))</f>
        <v/>
      </c>
      <c r="F636">
        <f>IF($A636="","",IFERROR(INDEX('Master Inventory'!$E:$E,MATCH($C636,'Master Inventory'!$A:$A,0)),0))</f>
        <v/>
      </c>
      <c r="G636">
        <f>IF($A636="","",'Blind Count Entry'!F634)</f>
        <v/>
      </c>
      <c r="H636">
        <f>IF($A636="","",G636-F636)</f>
        <v/>
      </c>
      <c r="I636" s="17">
        <f>IF($A636="","",IF(F636=0,IF(H636=0,0,1),ABS(H636)/F636))</f>
        <v/>
      </c>
      <c r="J636" s="18">
        <f>IF($A636="","",IF($E636="A",$E$1,IF($E636="B",$G$1,$I$1)))</f>
        <v/>
      </c>
      <c r="K636">
        <f>IF($A636="","",IF(H636=0,"MATCH",IF(I636&gt;J636,"RECOUNT","WITHIN TOLERANCE")))</f>
        <v/>
      </c>
      <c r="L636" s="5" t="n"/>
      <c r="M636">
        <f>IF(OR($A636="",$L636=""),"",L636-F636)</f>
        <v/>
      </c>
      <c r="N636" s="5" t="n"/>
      <c r="O636" s="5" t="n"/>
    </row>
    <row r="637">
      <c r="A637">
        <f>IF('Blind Count Entry'!A635="","",'Blind Count Entry'!A635)</f>
        <v/>
      </c>
      <c r="B637" s="16">
        <f>IF($A637="","",'Blind Count Entry'!B635)</f>
        <v/>
      </c>
      <c r="C637">
        <f>IF($A637="","",'Blind Count Entry'!C635)</f>
        <v/>
      </c>
      <c r="D637">
        <f>IF($A637="","",'Blind Count Entry'!D635)</f>
        <v/>
      </c>
      <c r="E637">
        <f>IF($A637="","",IFERROR(INDEX('ABC Analysis'!$F:$F,MATCH($C637,'ABC Analysis'!$A:$A,0)),""))</f>
        <v/>
      </c>
      <c r="F637">
        <f>IF($A637="","",IFERROR(INDEX('Master Inventory'!$E:$E,MATCH($C637,'Master Inventory'!$A:$A,0)),0))</f>
        <v/>
      </c>
      <c r="G637">
        <f>IF($A637="","",'Blind Count Entry'!F635)</f>
        <v/>
      </c>
      <c r="H637">
        <f>IF($A637="","",G637-F637)</f>
        <v/>
      </c>
      <c r="I637" s="17">
        <f>IF($A637="","",IF(F637=0,IF(H637=0,0,1),ABS(H637)/F637))</f>
        <v/>
      </c>
      <c r="J637" s="18">
        <f>IF($A637="","",IF($E637="A",$E$1,IF($E637="B",$G$1,$I$1)))</f>
        <v/>
      </c>
      <c r="K637">
        <f>IF($A637="","",IF(H637=0,"MATCH",IF(I637&gt;J637,"RECOUNT","WITHIN TOLERANCE")))</f>
        <v/>
      </c>
      <c r="L637" s="5" t="n"/>
      <c r="M637">
        <f>IF(OR($A637="",$L637=""),"",L637-F637)</f>
        <v/>
      </c>
      <c r="N637" s="5" t="n"/>
      <c r="O637" s="5" t="n"/>
    </row>
    <row r="638">
      <c r="A638">
        <f>IF('Blind Count Entry'!A636="","",'Blind Count Entry'!A636)</f>
        <v/>
      </c>
      <c r="B638" s="16">
        <f>IF($A638="","",'Blind Count Entry'!B636)</f>
        <v/>
      </c>
      <c r="C638">
        <f>IF($A638="","",'Blind Count Entry'!C636)</f>
        <v/>
      </c>
      <c r="D638">
        <f>IF($A638="","",'Blind Count Entry'!D636)</f>
        <v/>
      </c>
      <c r="E638">
        <f>IF($A638="","",IFERROR(INDEX('ABC Analysis'!$F:$F,MATCH($C638,'ABC Analysis'!$A:$A,0)),""))</f>
        <v/>
      </c>
      <c r="F638">
        <f>IF($A638="","",IFERROR(INDEX('Master Inventory'!$E:$E,MATCH($C638,'Master Inventory'!$A:$A,0)),0))</f>
        <v/>
      </c>
      <c r="G638">
        <f>IF($A638="","",'Blind Count Entry'!F636)</f>
        <v/>
      </c>
      <c r="H638">
        <f>IF($A638="","",G638-F638)</f>
        <v/>
      </c>
      <c r="I638" s="17">
        <f>IF($A638="","",IF(F638=0,IF(H638=0,0,1),ABS(H638)/F638))</f>
        <v/>
      </c>
      <c r="J638" s="18">
        <f>IF($A638="","",IF($E638="A",$E$1,IF($E638="B",$G$1,$I$1)))</f>
        <v/>
      </c>
      <c r="K638">
        <f>IF($A638="","",IF(H638=0,"MATCH",IF(I638&gt;J638,"RECOUNT","WITHIN TOLERANCE")))</f>
        <v/>
      </c>
      <c r="L638" s="5" t="n"/>
      <c r="M638">
        <f>IF(OR($A638="",$L638=""),"",L638-F638)</f>
        <v/>
      </c>
      <c r="N638" s="5" t="n"/>
      <c r="O638" s="5" t="n"/>
    </row>
    <row r="639">
      <c r="A639">
        <f>IF('Blind Count Entry'!A637="","",'Blind Count Entry'!A637)</f>
        <v/>
      </c>
      <c r="B639" s="16">
        <f>IF($A639="","",'Blind Count Entry'!B637)</f>
        <v/>
      </c>
      <c r="C639">
        <f>IF($A639="","",'Blind Count Entry'!C637)</f>
        <v/>
      </c>
      <c r="D639">
        <f>IF($A639="","",'Blind Count Entry'!D637)</f>
        <v/>
      </c>
      <c r="E639">
        <f>IF($A639="","",IFERROR(INDEX('ABC Analysis'!$F:$F,MATCH($C639,'ABC Analysis'!$A:$A,0)),""))</f>
        <v/>
      </c>
      <c r="F639">
        <f>IF($A639="","",IFERROR(INDEX('Master Inventory'!$E:$E,MATCH($C639,'Master Inventory'!$A:$A,0)),0))</f>
        <v/>
      </c>
      <c r="G639">
        <f>IF($A639="","",'Blind Count Entry'!F637)</f>
        <v/>
      </c>
      <c r="H639">
        <f>IF($A639="","",G639-F639)</f>
        <v/>
      </c>
      <c r="I639" s="17">
        <f>IF($A639="","",IF(F639=0,IF(H639=0,0,1),ABS(H639)/F639))</f>
        <v/>
      </c>
      <c r="J639" s="18">
        <f>IF($A639="","",IF($E639="A",$E$1,IF($E639="B",$G$1,$I$1)))</f>
        <v/>
      </c>
      <c r="K639">
        <f>IF($A639="","",IF(H639=0,"MATCH",IF(I639&gt;J639,"RECOUNT","WITHIN TOLERANCE")))</f>
        <v/>
      </c>
      <c r="L639" s="5" t="n"/>
      <c r="M639">
        <f>IF(OR($A639="",$L639=""),"",L639-F639)</f>
        <v/>
      </c>
      <c r="N639" s="5" t="n"/>
      <c r="O639" s="5" t="n"/>
    </row>
    <row r="640">
      <c r="A640">
        <f>IF('Blind Count Entry'!A638="","",'Blind Count Entry'!A638)</f>
        <v/>
      </c>
      <c r="B640" s="16">
        <f>IF($A640="","",'Blind Count Entry'!B638)</f>
        <v/>
      </c>
      <c r="C640">
        <f>IF($A640="","",'Blind Count Entry'!C638)</f>
        <v/>
      </c>
      <c r="D640">
        <f>IF($A640="","",'Blind Count Entry'!D638)</f>
        <v/>
      </c>
      <c r="E640">
        <f>IF($A640="","",IFERROR(INDEX('ABC Analysis'!$F:$F,MATCH($C640,'ABC Analysis'!$A:$A,0)),""))</f>
        <v/>
      </c>
      <c r="F640">
        <f>IF($A640="","",IFERROR(INDEX('Master Inventory'!$E:$E,MATCH($C640,'Master Inventory'!$A:$A,0)),0))</f>
        <v/>
      </c>
      <c r="G640">
        <f>IF($A640="","",'Blind Count Entry'!F638)</f>
        <v/>
      </c>
      <c r="H640">
        <f>IF($A640="","",G640-F640)</f>
        <v/>
      </c>
      <c r="I640" s="17">
        <f>IF($A640="","",IF(F640=0,IF(H640=0,0,1),ABS(H640)/F640))</f>
        <v/>
      </c>
      <c r="J640" s="18">
        <f>IF($A640="","",IF($E640="A",$E$1,IF($E640="B",$G$1,$I$1)))</f>
        <v/>
      </c>
      <c r="K640">
        <f>IF($A640="","",IF(H640=0,"MATCH",IF(I640&gt;J640,"RECOUNT","WITHIN TOLERANCE")))</f>
        <v/>
      </c>
      <c r="L640" s="5" t="n"/>
      <c r="M640">
        <f>IF(OR($A640="",$L640=""),"",L640-F640)</f>
        <v/>
      </c>
      <c r="N640" s="5" t="n"/>
      <c r="O640" s="5" t="n"/>
    </row>
    <row r="641">
      <c r="A641">
        <f>IF('Blind Count Entry'!A639="","",'Blind Count Entry'!A639)</f>
        <v/>
      </c>
      <c r="B641" s="16">
        <f>IF($A641="","",'Blind Count Entry'!B639)</f>
        <v/>
      </c>
      <c r="C641">
        <f>IF($A641="","",'Blind Count Entry'!C639)</f>
        <v/>
      </c>
      <c r="D641">
        <f>IF($A641="","",'Blind Count Entry'!D639)</f>
        <v/>
      </c>
      <c r="E641">
        <f>IF($A641="","",IFERROR(INDEX('ABC Analysis'!$F:$F,MATCH($C641,'ABC Analysis'!$A:$A,0)),""))</f>
        <v/>
      </c>
      <c r="F641">
        <f>IF($A641="","",IFERROR(INDEX('Master Inventory'!$E:$E,MATCH($C641,'Master Inventory'!$A:$A,0)),0))</f>
        <v/>
      </c>
      <c r="G641">
        <f>IF($A641="","",'Blind Count Entry'!F639)</f>
        <v/>
      </c>
      <c r="H641">
        <f>IF($A641="","",G641-F641)</f>
        <v/>
      </c>
      <c r="I641" s="17">
        <f>IF($A641="","",IF(F641=0,IF(H641=0,0,1),ABS(H641)/F641))</f>
        <v/>
      </c>
      <c r="J641" s="18">
        <f>IF($A641="","",IF($E641="A",$E$1,IF($E641="B",$G$1,$I$1)))</f>
        <v/>
      </c>
      <c r="K641">
        <f>IF($A641="","",IF(H641=0,"MATCH",IF(I641&gt;J641,"RECOUNT","WITHIN TOLERANCE")))</f>
        <v/>
      </c>
      <c r="L641" s="5" t="n"/>
      <c r="M641">
        <f>IF(OR($A641="",$L641=""),"",L641-F641)</f>
        <v/>
      </c>
      <c r="N641" s="5" t="n"/>
      <c r="O641" s="5" t="n"/>
    </row>
    <row r="642">
      <c r="A642">
        <f>IF('Blind Count Entry'!A640="","",'Blind Count Entry'!A640)</f>
        <v/>
      </c>
      <c r="B642" s="16">
        <f>IF($A642="","",'Blind Count Entry'!B640)</f>
        <v/>
      </c>
      <c r="C642">
        <f>IF($A642="","",'Blind Count Entry'!C640)</f>
        <v/>
      </c>
      <c r="D642">
        <f>IF($A642="","",'Blind Count Entry'!D640)</f>
        <v/>
      </c>
      <c r="E642">
        <f>IF($A642="","",IFERROR(INDEX('ABC Analysis'!$F:$F,MATCH($C642,'ABC Analysis'!$A:$A,0)),""))</f>
        <v/>
      </c>
      <c r="F642">
        <f>IF($A642="","",IFERROR(INDEX('Master Inventory'!$E:$E,MATCH($C642,'Master Inventory'!$A:$A,0)),0))</f>
        <v/>
      </c>
      <c r="G642">
        <f>IF($A642="","",'Blind Count Entry'!F640)</f>
        <v/>
      </c>
      <c r="H642">
        <f>IF($A642="","",G642-F642)</f>
        <v/>
      </c>
      <c r="I642" s="17">
        <f>IF($A642="","",IF(F642=0,IF(H642=0,0,1),ABS(H642)/F642))</f>
        <v/>
      </c>
      <c r="J642" s="18">
        <f>IF($A642="","",IF($E642="A",$E$1,IF($E642="B",$G$1,$I$1)))</f>
        <v/>
      </c>
      <c r="K642">
        <f>IF($A642="","",IF(H642=0,"MATCH",IF(I642&gt;J642,"RECOUNT","WITHIN TOLERANCE")))</f>
        <v/>
      </c>
      <c r="L642" s="5" t="n"/>
      <c r="M642">
        <f>IF(OR($A642="",$L642=""),"",L642-F642)</f>
        <v/>
      </c>
      <c r="N642" s="5" t="n"/>
      <c r="O642" s="5" t="n"/>
    </row>
    <row r="643">
      <c r="A643">
        <f>IF('Blind Count Entry'!A641="","",'Blind Count Entry'!A641)</f>
        <v/>
      </c>
      <c r="B643" s="16">
        <f>IF($A643="","",'Blind Count Entry'!B641)</f>
        <v/>
      </c>
      <c r="C643">
        <f>IF($A643="","",'Blind Count Entry'!C641)</f>
        <v/>
      </c>
      <c r="D643">
        <f>IF($A643="","",'Blind Count Entry'!D641)</f>
        <v/>
      </c>
      <c r="E643">
        <f>IF($A643="","",IFERROR(INDEX('ABC Analysis'!$F:$F,MATCH($C643,'ABC Analysis'!$A:$A,0)),""))</f>
        <v/>
      </c>
      <c r="F643">
        <f>IF($A643="","",IFERROR(INDEX('Master Inventory'!$E:$E,MATCH($C643,'Master Inventory'!$A:$A,0)),0))</f>
        <v/>
      </c>
      <c r="G643">
        <f>IF($A643="","",'Blind Count Entry'!F641)</f>
        <v/>
      </c>
      <c r="H643">
        <f>IF($A643="","",G643-F643)</f>
        <v/>
      </c>
      <c r="I643" s="17">
        <f>IF($A643="","",IF(F643=0,IF(H643=0,0,1),ABS(H643)/F643))</f>
        <v/>
      </c>
      <c r="J643" s="18">
        <f>IF($A643="","",IF($E643="A",$E$1,IF($E643="B",$G$1,$I$1)))</f>
        <v/>
      </c>
      <c r="K643">
        <f>IF($A643="","",IF(H643=0,"MATCH",IF(I643&gt;J643,"RECOUNT","WITHIN TOLERANCE")))</f>
        <v/>
      </c>
      <c r="L643" s="5" t="n"/>
      <c r="M643">
        <f>IF(OR($A643="",$L643=""),"",L643-F643)</f>
        <v/>
      </c>
      <c r="N643" s="5" t="n"/>
      <c r="O643" s="5" t="n"/>
    </row>
    <row r="644">
      <c r="A644">
        <f>IF('Blind Count Entry'!A642="","",'Blind Count Entry'!A642)</f>
        <v/>
      </c>
      <c r="B644" s="16">
        <f>IF($A644="","",'Blind Count Entry'!B642)</f>
        <v/>
      </c>
      <c r="C644">
        <f>IF($A644="","",'Blind Count Entry'!C642)</f>
        <v/>
      </c>
      <c r="D644">
        <f>IF($A644="","",'Blind Count Entry'!D642)</f>
        <v/>
      </c>
      <c r="E644">
        <f>IF($A644="","",IFERROR(INDEX('ABC Analysis'!$F:$F,MATCH($C644,'ABC Analysis'!$A:$A,0)),""))</f>
        <v/>
      </c>
      <c r="F644">
        <f>IF($A644="","",IFERROR(INDEX('Master Inventory'!$E:$E,MATCH($C644,'Master Inventory'!$A:$A,0)),0))</f>
        <v/>
      </c>
      <c r="G644">
        <f>IF($A644="","",'Blind Count Entry'!F642)</f>
        <v/>
      </c>
      <c r="H644">
        <f>IF($A644="","",G644-F644)</f>
        <v/>
      </c>
      <c r="I644" s="17">
        <f>IF($A644="","",IF(F644=0,IF(H644=0,0,1),ABS(H644)/F644))</f>
        <v/>
      </c>
      <c r="J644" s="18">
        <f>IF($A644="","",IF($E644="A",$E$1,IF($E644="B",$G$1,$I$1)))</f>
        <v/>
      </c>
      <c r="K644">
        <f>IF($A644="","",IF(H644=0,"MATCH",IF(I644&gt;J644,"RECOUNT","WITHIN TOLERANCE")))</f>
        <v/>
      </c>
      <c r="L644" s="5" t="n"/>
      <c r="M644">
        <f>IF(OR($A644="",$L644=""),"",L644-F644)</f>
        <v/>
      </c>
      <c r="N644" s="5" t="n"/>
      <c r="O644" s="5" t="n"/>
    </row>
    <row r="645">
      <c r="A645">
        <f>IF('Blind Count Entry'!A643="","",'Blind Count Entry'!A643)</f>
        <v/>
      </c>
      <c r="B645" s="16">
        <f>IF($A645="","",'Blind Count Entry'!B643)</f>
        <v/>
      </c>
      <c r="C645">
        <f>IF($A645="","",'Blind Count Entry'!C643)</f>
        <v/>
      </c>
      <c r="D645">
        <f>IF($A645="","",'Blind Count Entry'!D643)</f>
        <v/>
      </c>
      <c r="E645">
        <f>IF($A645="","",IFERROR(INDEX('ABC Analysis'!$F:$F,MATCH($C645,'ABC Analysis'!$A:$A,0)),""))</f>
        <v/>
      </c>
      <c r="F645">
        <f>IF($A645="","",IFERROR(INDEX('Master Inventory'!$E:$E,MATCH($C645,'Master Inventory'!$A:$A,0)),0))</f>
        <v/>
      </c>
      <c r="G645">
        <f>IF($A645="","",'Blind Count Entry'!F643)</f>
        <v/>
      </c>
      <c r="H645">
        <f>IF($A645="","",G645-F645)</f>
        <v/>
      </c>
      <c r="I645" s="17">
        <f>IF($A645="","",IF(F645=0,IF(H645=0,0,1),ABS(H645)/F645))</f>
        <v/>
      </c>
      <c r="J645" s="18">
        <f>IF($A645="","",IF($E645="A",$E$1,IF($E645="B",$G$1,$I$1)))</f>
        <v/>
      </c>
      <c r="K645">
        <f>IF($A645="","",IF(H645=0,"MATCH",IF(I645&gt;J645,"RECOUNT","WITHIN TOLERANCE")))</f>
        <v/>
      </c>
      <c r="L645" s="5" t="n"/>
      <c r="M645">
        <f>IF(OR($A645="",$L645=""),"",L645-F645)</f>
        <v/>
      </c>
      <c r="N645" s="5" t="n"/>
      <c r="O645" s="5" t="n"/>
    </row>
    <row r="646">
      <c r="A646">
        <f>IF('Blind Count Entry'!A644="","",'Blind Count Entry'!A644)</f>
        <v/>
      </c>
      <c r="B646" s="16">
        <f>IF($A646="","",'Blind Count Entry'!B644)</f>
        <v/>
      </c>
      <c r="C646">
        <f>IF($A646="","",'Blind Count Entry'!C644)</f>
        <v/>
      </c>
      <c r="D646">
        <f>IF($A646="","",'Blind Count Entry'!D644)</f>
        <v/>
      </c>
      <c r="E646">
        <f>IF($A646="","",IFERROR(INDEX('ABC Analysis'!$F:$F,MATCH($C646,'ABC Analysis'!$A:$A,0)),""))</f>
        <v/>
      </c>
      <c r="F646">
        <f>IF($A646="","",IFERROR(INDEX('Master Inventory'!$E:$E,MATCH($C646,'Master Inventory'!$A:$A,0)),0))</f>
        <v/>
      </c>
      <c r="G646">
        <f>IF($A646="","",'Blind Count Entry'!F644)</f>
        <v/>
      </c>
      <c r="H646">
        <f>IF($A646="","",G646-F646)</f>
        <v/>
      </c>
      <c r="I646" s="17">
        <f>IF($A646="","",IF(F646=0,IF(H646=0,0,1),ABS(H646)/F646))</f>
        <v/>
      </c>
      <c r="J646" s="18">
        <f>IF($A646="","",IF($E646="A",$E$1,IF($E646="B",$G$1,$I$1)))</f>
        <v/>
      </c>
      <c r="K646">
        <f>IF($A646="","",IF(H646=0,"MATCH",IF(I646&gt;J646,"RECOUNT","WITHIN TOLERANCE")))</f>
        <v/>
      </c>
      <c r="L646" s="5" t="n"/>
      <c r="M646">
        <f>IF(OR($A646="",$L646=""),"",L646-F646)</f>
        <v/>
      </c>
      <c r="N646" s="5" t="n"/>
      <c r="O646" s="5" t="n"/>
    </row>
    <row r="647">
      <c r="A647">
        <f>IF('Blind Count Entry'!A645="","",'Blind Count Entry'!A645)</f>
        <v/>
      </c>
      <c r="B647" s="16">
        <f>IF($A647="","",'Blind Count Entry'!B645)</f>
        <v/>
      </c>
      <c r="C647">
        <f>IF($A647="","",'Blind Count Entry'!C645)</f>
        <v/>
      </c>
      <c r="D647">
        <f>IF($A647="","",'Blind Count Entry'!D645)</f>
        <v/>
      </c>
      <c r="E647">
        <f>IF($A647="","",IFERROR(INDEX('ABC Analysis'!$F:$F,MATCH($C647,'ABC Analysis'!$A:$A,0)),""))</f>
        <v/>
      </c>
      <c r="F647">
        <f>IF($A647="","",IFERROR(INDEX('Master Inventory'!$E:$E,MATCH($C647,'Master Inventory'!$A:$A,0)),0))</f>
        <v/>
      </c>
      <c r="G647">
        <f>IF($A647="","",'Blind Count Entry'!F645)</f>
        <v/>
      </c>
      <c r="H647">
        <f>IF($A647="","",G647-F647)</f>
        <v/>
      </c>
      <c r="I647" s="17">
        <f>IF($A647="","",IF(F647=0,IF(H647=0,0,1),ABS(H647)/F647))</f>
        <v/>
      </c>
      <c r="J647" s="18">
        <f>IF($A647="","",IF($E647="A",$E$1,IF($E647="B",$G$1,$I$1)))</f>
        <v/>
      </c>
      <c r="K647">
        <f>IF($A647="","",IF(H647=0,"MATCH",IF(I647&gt;J647,"RECOUNT","WITHIN TOLERANCE")))</f>
        <v/>
      </c>
      <c r="L647" s="5" t="n"/>
      <c r="M647">
        <f>IF(OR($A647="",$L647=""),"",L647-F647)</f>
        <v/>
      </c>
      <c r="N647" s="5" t="n"/>
      <c r="O647" s="5" t="n"/>
    </row>
    <row r="648">
      <c r="A648">
        <f>IF('Blind Count Entry'!A646="","",'Blind Count Entry'!A646)</f>
        <v/>
      </c>
      <c r="B648" s="16">
        <f>IF($A648="","",'Blind Count Entry'!B646)</f>
        <v/>
      </c>
      <c r="C648">
        <f>IF($A648="","",'Blind Count Entry'!C646)</f>
        <v/>
      </c>
      <c r="D648">
        <f>IF($A648="","",'Blind Count Entry'!D646)</f>
        <v/>
      </c>
      <c r="E648">
        <f>IF($A648="","",IFERROR(INDEX('ABC Analysis'!$F:$F,MATCH($C648,'ABC Analysis'!$A:$A,0)),""))</f>
        <v/>
      </c>
      <c r="F648">
        <f>IF($A648="","",IFERROR(INDEX('Master Inventory'!$E:$E,MATCH($C648,'Master Inventory'!$A:$A,0)),0))</f>
        <v/>
      </c>
      <c r="G648">
        <f>IF($A648="","",'Blind Count Entry'!F646)</f>
        <v/>
      </c>
      <c r="H648">
        <f>IF($A648="","",G648-F648)</f>
        <v/>
      </c>
      <c r="I648" s="17">
        <f>IF($A648="","",IF(F648=0,IF(H648=0,0,1),ABS(H648)/F648))</f>
        <v/>
      </c>
      <c r="J648" s="18">
        <f>IF($A648="","",IF($E648="A",$E$1,IF($E648="B",$G$1,$I$1)))</f>
        <v/>
      </c>
      <c r="K648">
        <f>IF($A648="","",IF(H648=0,"MATCH",IF(I648&gt;J648,"RECOUNT","WITHIN TOLERANCE")))</f>
        <v/>
      </c>
      <c r="L648" s="5" t="n"/>
      <c r="M648">
        <f>IF(OR($A648="",$L648=""),"",L648-F648)</f>
        <v/>
      </c>
      <c r="N648" s="5" t="n"/>
      <c r="O648" s="5" t="n"/>
    </row>
    <row r="649">
      <c r="A649">
        <f>IF('Blind Count Entry'!A647="","",'Blind Count Entry'!A647)</f>
        <v/>
      </c>
      <c r="B649" s="16">
        <f>IF($A649="","",'Blind Count Entry'!B647)</f>
        <v/>
      </c>
      <c r="C649">
        <f>IF($A649="","",'Blind Count Entry'!C647)</f>
        <v/>
      </c>
      <c r="D649">
        <f>IF($A649="","",'Blind Count Entry'!D647)</f>
        <v/>
      </c>
      <c r="E649">
        <f>IF($A649="","",IFERROR(INDEX('ABC Analysis'!$F:$F,MATCH($C649,'ABC Analysis'!$A:$A,0)),""))</f>
        <v/>
      </c>
      <c r="F649">
        <f>IF($A649="","",IFERROR(INDEX('Master Inventory'!$E:$E,MATCH($C649,'Master Inventory'!$A:$A,0)),0))</f>
        <v/>
      </c>
      <c r="G649">
        <f>IF($A649="","",'Blind Count Entry'!F647)</f>
        <v/>
      </c>
      <c r="H649">
        <f>IF($A649="","",G649-F649)</f>
        <v/>
      </c>
      <c r="I649" s="17">
        <f>IF($A649="","",IF(F649=0,IF(H649=0,0,1),ABS(H649)/F649))</f>
        <v/>
      </c>
      <c r="J649" s="18">
        <f>IF($A649="","",IF($E649="A",$E$1,IF($E649="B",$G$1,$I$1)))</f>
        <v/>
      </c>
      <c r="K649">
        <f>IF($A649="","",IF(H649=0,"MATCH",IF(I649&gt;J649,"RECOUNT","WITHIN TOLERANCE")))</f>
        <v/>
      </c>
      <c r="L649" s="5" t="n"/>
      <c r="M649">
        <f>IF(OR($A649="",$L649=""),"",L649-F649)</f>
        <v/>
      </c>
      <c r="N649" s="5" t="n"/>
      <c r="O649" s="5" t="n"/>
    </row>
    <row r="650">
      <c r="A650">
        <f>IF('Blind Count Entry'!A648="","",'Blind Count Entry'!A648)</f>
        <v/>
      </c>
      <c r="B650" s="16">
        <f>IF($A650="","",'Blind Count Entry'!B648)</f>
        <v/>
      </c>
      <c r="C650">
        <f>IF($A650="","",'Blind Count Entry'!C648)</f>
        <v/>
      </c>
      <c r="D650">
        <f>IF($A650="","",'Blind Count Entry'!D648)</f>
        <v/>
      </c>
      <c r="E650">
        <f>IF($A650="","",IFERROR(INDEX('ABC Analysis'!$F:$F,MATCH($C650,'ABC Analysis'!$A:$A,0)),""))</f>
        <v/>
      </c>
      <c r="F650">
        <f>IF($A650="","",IFERROR(INDEX('Master Inventory'!$E:$E,MATCH($C650,'Master Inventory'!$A:$A,0)),0))</f>
        <v/>
      </c>
      <c r="G650">
        <f>IF($A650="","",'Blind Count Entry'!F648)</f>
        <v/>
      </c>
      <c r="H650">
        <f>IF($A650="","",G650-F650)</f>
        <v/>
      </c>
      <c r="I650" s="17">
        <f>IF($A650="","",IF(F650=0,IF(H650=0,0,1),ABS(H650)/F650))</f>
        <v/>
      </c>
      <c r="J650" s="18">
        <f>IF($A650="","",IF($E650="A",$E$1,IF($E650="B",$G$1,$I$1)))</f>
        <v/>
      </c>
      <c r="K650">
        <f>IF($A650="","",IF(H650=0,"MATCH",IF(I650&gt;J650,"RECOUNT","WITHIN TOLERANCE")))</f>
        <v/>
      </c>
      <c r="L650" s="5" t="n"/>
      <c r="M650">
        <f>IF(OR($A650="",$L650=""),"",L650-F650)</f>
        <v/>
      </c>
      <c r="N650" s="5" t="n"/>
      <c r="O650" s="5" t="n"/>
    </row>
    <row r="651">
      <c r="A651">
        <f>IF('Blind Count Entry'!A649="","",'Blind Count Entry'!A649)</f>
        <v/>
      </c>
      <c r="B651" s="16">
        <f>IF($A651="","",'Blind Count Entry'!B649)</f>
        <v/>
      </c>
      <c r="C651">
        <f>IF($A651="","",'Blind Count Entry'!C649)</f>
        <v/>
      </c>
      <c r="D651">
        <f>IF($A651="","",'Blind Count Entry'!D649)</f>
        <v/>
      </c>
      <c r="E651">
        <f>IF($A651="","",IFERROR(INDEX('ABC Analysis'!$F:$F,MATCH($C651,'ABC Analysis'!$A:$A,0)),""))</f>
        <v/>
      </c>
      <c r="F651">
        <f>IF($A651="","",IFERROR(INDEX('Master Inventory'!$E:$E,MATCH($C651,'Master Inventory'!$A:$A,0)),0))</f>
        <v/>
      </c>
      <c r="G651">
        <f>IF($A651="","",'Blind Count Entry'!F649)</f>
        <v/>
      </c>
      <c r="H651">
        <f>IF($A651="","",G651-F651)</f>
        <v/>
      </c>
      <c r="I651" s="17">
        <f>IF($A651="","",IF(F651=0,IF(H651=0,0,1),ABS(H651)/F651))</f>
        <v/>
      </c>
      <c r="J651" s="18">
        <f>IF($A651="","",IF($E651="A",$E$1,IF($E651="B",$G$1,$I$1)))</f>
        <v/>
      </c>
      <c r="K651">
        <f>IF($A651="","",IF(H651=0,"MATCH",IF(I651&gt;J651,"RECOUNT","WITHIN TOLERANCE")))</f>
        <v/>
      </c>
      <c r="L651" s="5" t="n"/>
      <c r="M651">
        <f>IF(OR($A651="",$L651=""),"",L651-F651)</f>
        <v/>
      </c>
      <c r="N651" s="5" t="n"/>
      <c r="O651" s="5" t="n"/>
    </row>
    <row r="652">
      <c r="A652">
        <f>IF('Blind Count Entry'!A650="","",'Blind Count Entry'!A650)</f>
        <v/>
      </c>
      <c r="B652" s="16">
        <f>IF($A652="","",'Blind Count Entry'!B650)</f>
        <v/>
      </c>
      <c r="C652">
        <f>IF($A652="","",'Blind Count Entry'!C650)</f>
        <v/>
      </c>
      <c r="D652">
        <f>IF($A652="","",'Blind Count Entry'!D650)</f>
        <v/>
      </c>
      <c r="E652">
        <f>IF($A652="","",IFERROR(INDEX('ABC Analysis'!$F:$F,MATCH($C652,'ABC Analysis'!$A:$A,0)),""))</f>
        <v/>
      </c>
      <c r="F652">
        <f>IF($A652="","",IFERROR(INDEX('Master Inventory'!$E:$E,MATCH($C652,'Master Inventory'!$A:$A,0)),0))</f>
        <v/>
      </c>
      <c r="G652">
        <f>IF($A652="","",'Blind Count Entry'!F650)</f>
        <v/>
      </c>
      <c r="H652">
        <f>IF($A652="","",G652-F652)</f>
        <v/>
      </c>
      <c r="I652" s="17">
        <f>IF($A652="","",IF(F652=0,IF(H652=0,0,1),ABS(H652)/F652))</f>
        <v/>
      </c>
      <c r="J652" s="18">
        <f>IF($A652="","",IF($E652="A",$E$1,IF($E652="B",$G$1,$I$1)))</f>
        <v/>
      </c>
      <c r="K652">
        <f>IF($A652="","",IF(H652=0,"MATCH",IF(I652&gt;J652,"RECOUNT","WITHIN TOLERANCE")))</f>
        <v/>
      </c>
      <c r="L652" s="5" t="n"/>
      <c r="M652">
        <f>IF(OR($A652="",$L652=""),"",L652-F652)</f>
        <v/>
      </c>
      <c r="N652" s="5" t="n"/>
      <c r="O652" s="5" t="n"/>
    </row>
    <row r="653">
      <c r="A653">
        <f>IF('Blind Count Entry'!A651="","",'Blind Count Entry'!A651)</f>
        <v/>
      </c>
      <c r="B653" s="16">
        <f>IF($A653="","",'Blind Count Entry'!B651)</f>
        <v/>
      </c>
      <c r="C653">
        <f>IF($A653="","",'Blind Count Entry'!C651)</f>
        <v/>
      </c>
      <c r="D653">
        <f>IF($A653="","",'Blind Count Entry'!D651)</f>
        <v/>
      </c>
      <c r="E653">
        <f>IF($A653="","",IFERROR(INDEX('ABC Analysis'!$F:$F,MATCH($C653,'ABC Analysis'!$A:$A,0)),""))</f>
        <v/>
      </c>
      <c r="F653">
        <f>IF($A653="","",IFERROR(INDEX('Master Inventory'!$E:$E,MATCH($C653,'Master Inventory'!$A:$A,0)),0))</f>
        <v/>
      </c>
      <c r="G653">
        <f>IF($A653="","",'Blind Count Entry'!F651)</f>
        <v/>
      </c>
      <c r="H653">
        <f>IF($A653="","",G653-F653)</f>
        <v/>
      </c>
      <c r="I653" s="17">
        <f>IF($A653="","",IF(F653=0,IF(H653=0,0,1),ABS(H653)/F653))</f>
        <v/>
      </c>
      <c r="J653" s="18">
        <f>IF($A653="","",IF($E653="A",$E$1,IF($E653="B",$G$1,$I$1)))</f>
        <v/>
      </c>
      <c r="K653">
        <f>IF($A653="","",IF(H653=0,"MATCH",IF(I653&gt;J653,"RECOUNT","WITHIN TOLERANCE")))</f>
        <v/>
      </c>
      <c r="L653" s="5" t="n"/>
      <c r="M653">
        <f>IF(OR($A653="",$L653=""),"",L653-F653)</f>
        <v/>
      </c>
      <c r="N653" s="5" t="n"/>
      <c r="O653" s="5" t="n"/>
    </row>
    <row r="654">
      <c r="A654">
        <f>IF('Blind Count Entry'!A652="","",'Blind Count Entry'!A652)</f>
        <v/>
      </c>
      <c r="B654" s="16">
        <f>IF($A654="","",'Blind Count Entry'!B652)</f>
        <v/>
      </c>
      <c r="C654">
        <f>IF($A654="","",'Blind Count Entry'!C652)</f>
        <v/>
      </c>
      <c r="D654">
        <f>IF($A654="","",'Blind Count Entry'!D652)</f>
        <v/>
      </c>
      <c r="E654">
        <f>IF($A654="","",IFERROR(INDEX('ABC Analysis'!$F:$F,MATCH($C654,'ABC Analysis'!$A:$A,0)),""))</f>
        <v/>
      </c>
      <c r="F654">
        <f>IF($A654="","",IFERROR(INDEX('Master Inventory'!$E:$E,MATCH($C654,'Master Inventory'!$A:$A,0)),0))</f>
        <v/>
      </c>
      <c r="G654">
        <f>IF($A654="","",'Blind Count Entry'!F652)</f>
        <v/>
      </c>
      <c r="H654">
        <f>IF($A654="","",G654-F654)</f>
        <v/>
      </c>
      <c r="I654" s="17">
        <f>IF($A654="","",IF(F654=0,IF(H654=0,0,1),ABS(H654)/F654))</f>
        <v/>
      </c>
      <c r="J654" s="18">
        <f>IF($A654="","",IF($E654="A",$E$1,IF($E654="B",$G$1,$I$1)))</f>
        <v/>
      </c>
      <c r="K654">
        <f>IF($A654="","",IF(H654=0,"MATCH",IF(I654&gt;J654,"RECOUNT","WITHIN TOLERANCE")))</f>
        <v/>
      </c>
      <c r="L654" s="5" t="n"/>
      <c r="M654">
        <f>IF(OR($A654="",$L654=""),"",L654-F654)</f>
        <v/>
      </c>
      <c r="N654" s="5" t="n"/>
      <c r="O654" s="5" t="n"/>
    </row>
    <row r="655">
      <c r="A655">
        <f>IF('Blind Count Entry'!A653="","",'Blind Count Entry'!A653)</f>
        <v/>
      </c>
      <c r="B655" s="16">
        <f>IF($A655="","",'Blind Count Entry'!B653)</f>
        <v/>
      </c>
      <c r="C655">
        <f>IF($A655="","",'Blind Count Entry'!C653)</f>
        <v/>
      </c>
      <c r="D655">
        <f>IF($A655="","",'Blind Count Entry'!D653)</f>
        <v/>
      </c>
      <c r="E655">
        <f>IF($A655="","",IFERROR(INDEX('ABC Analysis'!$F:$F,MATCH($C655,'ABC Analysis'!$A:$A,0)),""))</f>
        <v/>
      </c>
      <c r="F655">
        <f>IF($A655="","",IFERROR(INDEX('Master Inventory'!$E:$E,MATCH($C655,'Master Inventory'!$A:$A,0)),0))</f>
        <v/>
      </c>
      <c r="G655">
        <f>IF($A655="","",'Blind Count Entry'!F653)</f>
        <v/>
      </c>
      <c r="H655">
        <f>IF($A655="","",G655-F655)</f>
        <v/>
      </c>
      <c r="I655" s="17">
        <f>IF($A655="","",IF(F655=0,IF(H655=0,0,1),ABS(H655)/F655))</f>
        <v/>
      </c>
      <c r="J655" s="18">
        <f>IF($A655="","",IF($E655="A",$E$1,IF($E655="B",$G$1,$I$1)))</f>
        <v/>
      </c>
      <c r="K655">
        <f>IF($A655="","",IF(H655=0,"MATCH",IF(I655&gt;J655,"RECOUNT","WITHIN TOLERANCE")))</f>
        <v/>
      </c>
      <c r="L655" s="5" t="n"/>
      <c r="M655">
        <f>IF(OR($A655="",$L655=""),"",L655-F655)</f>
        <v/>
      </c>
      <c r="N655" s="5" t="n"/>
      <c r="O655" s="5" t="n"/>
    </row>
    <row r="656">
      <c r="A656">
        <f>IF('Blind Count Entry'!A654="","",'Blind Count Entry'!A654)</f>
        <v/>
      </c>
      <c r="B656" s="16">
        <f>IF($A656="","",'Blind Count Entry'!B654)</f>
        <v/>
      </c>
      <c r="C656">
        <f>IF($A656="","",'Blind Count Entry'!C654)</f>
        <v/>
      </c>
      <c r="D656">
        <f>IF($A656="","",'Blind Count Entry'!D654)</f>
        <v/>
      </c>
      <c r="E656">
        <f>IF($A656="","",IFERROR(INDEX('ABC Analysis'!$F:$F,MATCH($C656,'ABC Analysis'!$A:$A,0)),""))</f>
        <v/>
      </c>
      <c r="F656">
        <f>IF($A656="","",IFERROR(INDEX('Master Inventory'!$E:$E,MATCH($C656,'Master Inventory'!$A:$A,0)),0))</f>
        <v/>
      </c>
      <c r="G656">
        <f>IF($A656="","",'Blind Count Entry'!F654)</f>
        <v/>
      </c>
      <c r="H656">
        <f>IF($A656="","",G656-F656)</f>
        <v/>
      </c>
      <c r="I656" s="17">
        <f>IF($A656="","",IF(F656=0,IF(H656=0,0,1),ABS(H656)/F656))</f>
        <v/>
      </c>
      <c r="J656" s="18">
        <f>IF($A656="","",IF($E656="A",$E$1,IF($E656="B",$G$1,$I$1)))</f>
        <v/>
      </c>
      <c r="K656">
        <f>IF($A656="","",IF(H656=0,"MATCH",IF(I656&gt;J656,"RECOUNT","WITHIN TOLERANCE")))</f>
        <v/>
      </c>
      <c r="L656" s="5" t="n"/>
      <c r="M656">
        <f>IF(OR($A656="",$L656=""),"",L656-F656)</f>
        <v/>
      </c>
      <c r="N656" s="5" t="n"/>
      <c r="O656" s="5" t="n"/>
    </row>
    <row r="657">
      <c r="A657">
        <f>IF('Blind Count Entry'!A655="","",'Blind Count Entry'!A655)</f>
        <v/>
      </c>
      <c r="B657" s="16">
        <f>IF($A657="","",'Blind Count Entry'!B655)</f>
        <v/>
      </c>
      <c r="C657">
        <f>IF($A657="","",'Blind Count Entry'!C655)</f>
        <v/>
      </c>
      <c r="D657">
        <f>IF($A657="","",'Blind Count Entry'!D655)</f>
        <v/>
      </c>
      <c r="E657">
        <f>IF($A657="","",IFERROR(INDEX('ABC Analysis'!$F:$F,MATCH($C657,'ABC Analysis'!$A:$A,0)),""))</f>
        <v/>
      </c>
      <c r="F657">
        <f>IF($A657="","",IFERROR(INDEX('Master Inventory'!$E:$E,MATCH($C657,'Master Inventory'!$A:$A,0)),0))</f>
        <v/>
      </c>
      <c r="G657">
        <f>IF($A657="","",'Blind Count Entry'!F655)</f>
        <v/>
      </c>
      <c r="H657">
        <f>IF($A657="","",G657-F657)</f>
        <v/>
      </c>
      <c r="I657" s="17">
        <f>IF($A657="","",IF(F657=0,IF(H657=0,0,1),ABS(H657)/F657))</f>
        <v/>
      </c>
      <c r="J657" s="18">
        <f>IF($A657="","",IF($E657="A",$E$1,IF($E657="B",$G$1,$I$1)))</f>
        <v/>
      </c>
      <c r="K657">
        <f>IF($A657="","",IF(H657=0,"MATCH",IF(I657&gt;J657,"RECOUNT","WITHIN TOLERANCE")))</f>
        <v/>
      </c>
      <c r="L657" s="5" t="n"/>
      <c r="M657">
        <f>IF(OR($A657="",$L657=""),"",L657-F657)</f>
        <v/>
      </c>
      <c r="N657" s="5" t="n"/>
      <c r="O657" s="5" t="n"/>
    </row>
    <row r="658">
      <c r="A658">
        <f>IF('Blind Count Entry'!A656="","",'Blind Count Entry'!A656)</f>
        <v/>
      </c>
      <c r="B658" s="16">
        <f>IF($A658="","",'Blind Count Entry'!B656)</f>
        <v/>
      </c>
      <c r="C658">
        <f>IF($A658="","",'Blind Count Entry'!C656)</f>
        <v/>
      </c>
      <c r="D658">
        <f>IF($A658="","",'Blind Count Entry'!D656)</f>
        <v/>
      </c>
      <c r="E658">
        <f>IF($A658="","",IFERROR(INDEX('ABC Analysis'!$F:$F,MATCH($C658,'ABC Analysis'!$A:$A,0)),""))</f>
        <v/>
      </c>
      <c r="F658">
        <f>IF($A658="","",IFERROR(INDEX('Master Inventory'!$E:$E,MATCH($C658,'Master Inventory'!$A:$A,0)),0))</f>
        <v/>
      </c>
      <c r="G658">
        <f>IF($A658="","",'Blind Count Entry'!F656)</f>
        <v/>
      </c>
      <c r="H658">
        <f>IF($A658="","",G658-F658)</f>
        <v/>
      </c>
      <c r="I658" s="17">
        <f>IF($A658="","",IF(F658=0,IF(H658=0,0,1),ABS(H658)/F658))</f>
        <v/>
      </c>
      <c r="J658" s="18">
        <f>IF($A658="","",IF($E658="A",$E$1,IF($E658="B",$G$1,$I$1)))</f>
        <v/>
      </c>
      <c r="K658">
        <f>IF($A658="","",IF(H658=0,"MATCH",IF(I658&gt;J658,"RECOUNT","WITHIN TOLERANCE")))</f>
        <v/>
      </c>
      <c r="L658" s="5" t="n"/>
      <c r="M658">
        <f>IF(OR($A658="",$L658=""),"",L658-F658)</f>
        <v/>
      </c>
      <c r="N658" s="5" t="n"/>
      <c r="O658" s="5" t="n"/>
    </row>
    <row r="659">
      <c r="A659">
        <f>IF('Blind Count Entry'!A657="","",'Blind Count Entry'!A657)</f>
        <v/>
      </c>
      <c r="B659" s="16">
        <f>IF($A659="","",'Blind Count Entry'!B657)</f>
        <v/>
      </c>
      <c r="C659">
        <f>IF($A659="","",'Blind Count Entry'!C657)</f>
        <v/>
      </c>
      <c r="D659">
        <f>IF($A659="","",'Blind Count Entry'!D657)</f>
        <v/>
      </c>
      <c r="E659">
        <f>IF($A659="","",IFERROR(INDEX('ABC Analysis'!$F:$F,MATCH($C659,'ABC Analysis'!$A:$A,0)),""))</f>
        <v/>
      </c>
      <c r="F659">
        <f>IF($A659="","",IFERROR(INDEX('Master Inventory'!$E:$E,MATCH($C659,'Master Inventory'!$A:$A,0)),0))</f>
        <v/>
      </c>
      <c r="G659">
        <f>IF($A659="","",'Blind Count Entry'!F657)</f>
        <v/>
      </c>
      <c r="H659">
        <f>IF($A659="","",G659-F659)</f>
        <v/>
      </c>
      <c r="I659" s="17">
        <f>IF($A659="","",IF(F659=0,IF(H659=0,0,1),ABS(H659)/F659))</f>
        <v/>
      </c>
      <c r="J659" s="18">
        <f>IF($A659="","",IF($E659="A",$E$1,IF($E659="B",$G$1,$I$1)))</f>
        <v/>
      </c>
      <c r="K659">
        <f>IF($A659="","",IF(H659=0,"MATCH",IF(I659&gt;J659,"RECOUNT","WITHIN TOLERANCE")))</f>
        <v/>
      </c>
      <c r="L659" s="5" t="n"/>
      <c r="M659">
        <f>IF(OR($A659="",$L659=""),"",L659-F659)</f>
        <v/>
      </c>
      <c r="N659" s="5" t="n"/>
      <c r="O659" s="5" t="n"/>
    </row>
    <row r="660">
      <c r="A660">
        <f>IF('Blind Count Entry'!A658="","",'Blind Count Entry'!A658)</f>
        <v/>
      </c>
      <c r="B660" s="16">
        <f>IF($A660="","",'Blind Count Entry'!B658)</f>
        <v/>
      </c>
      <c r="C660">
        <f>IF($A660="","",'Blind Count Entry'!C658)</f>
        <v/>
      </c>
      <c r="D660">
        <f>IF($A660="","",'Blind Count Entry'!D658)</f>
        <v/>
      </c>
      <c r="E660">
        <f>IF($A660="","",IFERROR(INDEX('ABC Analysis'!$F:$F,MATCH($C660,'ABC Analysis'!$A:$A,0)),""))</f>
        <v/>
      </c>
      <c r="F660">
        <f>IF($A660="","",IFERROR(INDEX('Master Inventory'!$E:$E,MATCH($C660,'Master Inventory'!$A:$A,0)),0))</f>
        <v/>
      </c>
      <c r="G660">
        <f>IF($A660="","",'Blind Count Entry'!F658)</f>
        <v/>
      </c>
      <c r="H660">
        <f>IF($A660="","",G660-F660)</f>
        <v/>
      </c>
      <c r="I660" s="17">
        <f>IF($A660="","",IF(F660=0,IF(H660=0,0,1),ABS(H660)/F660))</f>
        <v/>
      </c>
      <c r="J660" s="18">
        <f>IF($A660="","",IF($E660="A",$E$1,IF($E660="B",$G$1,$I$1)))</f>
        <v/>
      </c>
      <c r="K660">
        <f>IF($A660="","",IF(H660=0,"MATCH",IF(I660&gt;J660,"RECOUNT","WITHIN TOLERANCE")))</f>
        <v/>
      </c>
      <c r="L660" s="5" t="n"/>
      <c r="M660">
        <f>IF(OR($A660="",$L660=""),"",L660-F660)</f>
        <v/>
      </c>
      <c r="N660" s="5" t="n"/>
      <c r="O660" s="5" t="n"/>
    </row>
    <row r="661">
      <c r="A661">
        <f>IF('Blind Count Entry'!A659="","",'Blind Count Entry'!A659)</f>
        <v/>
      </c>
      <c r="B661" s="16">
        <f>IF($A661="","",'Blind Count Entry'!B659)</f>
        <v/>
      </c>
      <c r="C661">
        <f>IF($A661="","",'Blind Count Entry'!C659)</f>
        <v/>
      </c>
      <c r="D661">
        <f>IF($A661="","",'Blind Count Entry'!D659)</f>
        <v/>
      </c>
      <c r="E661">
        <f>IF($A661="","",IFERROR(INDEX('ABC Analysis'!$F:$F,MATCH($C661,'ABC Analysis'!$A:$A,0)),""))</f>
        <v/>
      </c>
      <c r="F661">
        <f>IF($A661="","",IFERROR(INDEX('Master Inventory'!$E:$E,MATCH($C661,'Master Inventory'!$A:$A,0)),0))</f>
        <v/>
      </c>
      <c r="G661">
        <f>IF($A661="","",'Blind Count Entry'!F659)</f>
        <v/>
      </c>
      <c r="H661">
        <f>IF($A661="","",G661-F661)</f>
        <v/>
      </c>
      <c r="I661" s="17">
        <f>IF($A661="","",IF(F661=0,IF(H661=0,0,1),ABS(H661)/F661))</f>
        <v/>
      </c>
      <c r="J661" s="18">
        <f>IF($A661="","",IF($E661="A",$E$1,IF($E661="B",$G$1,$I$1)))</f>
        <v/>
      </c>
      <c r="K661">
        <f>IF($A661="","",IF(H661=0,"MATCH",IF(I661&gt;J661,"RECOUNT","WITHIN TOLERANCE")))</f>
        <v/>
      </c>
      <c r="L661" s="5" t="n"/>
      <c r="M661">
        <f>IF(OR($A661="",$L661=""),"",L661-F661)</f>
        <v/>
      </c>
      <c r="N661" s="5" t="n"/>
      <c r="O661" s="5" t="n"/>
    </row>
    <row r="662">
      <c r="A662">
        <f>IF('Blind Count Entry'!A660="","",'Blind Count Entry'!A660)</f>
        <v/>
      </c>
      <c r="B662" s="16">
        <f>IF($A662="","",'Blind Count Entry'!B660)</f>
        <v/>
      </c>
      <c r="C662">
        <f>IF($A662="","",'Blind Count Entry'!C660)</f>
        <v/>
      </c>
      <c r="D662">
        <f>IF($A662="","",'Blind Count Entry'!D660)</f>
        <v/>
      </c>
      <c r="E662">
        <f>IF($A662="","",IFERROR(INDEX('ABC Analysis'!$F:$F,MATCH($C662,'ABC Analysis'!$A:$A,0)),""))</f>
        <v/>
      </c>
      <c r="F662">
        <f>IF($A662="","",IFERROR(INDEX('Master Inventory'!$E:$E,MATCH($C662,'Master Inventory'!$A:$A,0)),0))</f>
        <v/>
      </c>
      <c r="G662">
        <f>IF($A662="","",'Blind Count Entry'!F660)</f>
        <v/>
      </c>
      <c r="H662">
        <f>IF($A662="","",G662-F662)</f>
        <v/>
      </c>
      <c r="I662" s="17">
        <f>IF($A662="","",IF(F662=0,IF(H662=0,0,1),ABS(H662)/F662))</f>
        <v/>
      </c>
      <c r="J662" s="18">
        <f>IF($A662="","",IF($E662="A",$E$1,IF($E662="B",$G$1,$I$1)))</f>
        <v/>
      </c>
      <c r="K662">
        <f>IF($A662="","",IF(H662=0,"MATCH",IF(I662&gt;J662,"RECOUNT","WITHIN TOLERANCE")))</f>
        <v/>
      </c>
      <c r="L662" s="5" t="n"/>
      <c r="M662">
        <f>IF(OR($A662="",$L662=""),"",L662-F662)</f>
        <v/>
      </c>
      <c r="N662" s="5" t="n"/>
      <c r="O662" s="5" t="n"/>
    </row>
    <row r="663">
      <c r="A663">
        <f>IF('Blind Count Entry'!A661="","",'Blind Count Entry'!A661)</f>
        <v/>
      </c>
      <c r="B663" s="16">
        <f>IF($A663="","",'Blind Count Entry'!B661)</f>
        <v/>
      </c>
      <c r="C663">
        <f>IF($A663="","",'Blind Count Entry'!C661)</f>
        <v/>
      </c>
      <c r="D663">
        <f>IF($A663="","",'Blind Count Entry'!D661)</f>
        <v/>
      </c>
      <c r="E663">
        <f>IF($A663="","",IFERROR(INDEX('ABC Analysis'!$F:$F,MATCH($C663,'ABC Analysis'!$A:$A,0)),""))</f>
        <v/>
      </c>
      <c r="F663">
        <f>IF($A663="","",IFERROR(INDEX('Master Inventory'!$E:$E,MATCH($C663,'Master Inventory'!$A:$A,0)),0))</f>
        <v/>
      </c>
      <c r="G663">
        <f>IF($A663="","",'Blind Count Entry'!F661)</f>
        <v/>
      </c>
      <c r="H663">
        <f>IF($A663="","",G663-F663)</f>
        <v/>
      </c>
      <c r="I663" s="17">
        <f>IF($A663="","",IF(F663=0,IF(H663=0,0,1),ABS(H663)/F663))</f>
        <v/>
      </c>
      <c r="J663" s="18">
        <f>IF($A663="","",IF($E663="A",$E$1,IF($E663="B",$G$1,$I$1)))</f>
        <v/>
      </c>
      <c r="K663">
        <f>IF($A663="","",IF(H663=0,"MATCH",IF(I663&gt;J663,"RECOUNT","WITHIN TOLERANCE")))</f>
        <v/>
      </c>
      <c r="L663" s="5" t="n"/>
      <c r="M663">
        <f>IF(OR($A663="",$L663=""),"",L663-F663)</f>
        <v/>
      </c>
      <c r="N663" s="5" t="n"/>
      <c r="O663" s="5" t="n"/>
    </row>
    <row r="664">
      <c r="A664">
        <f>IF('Blind Count Entry'!A662="","",'Blind Count Entry'!A662)</f>
        <v/>
      </c>
      <c r="B664" s="16">
        <f>IF($A664="","",'Blind Count Entry'!B662)</f>
        <v/>
      </c>
      <c r="C664">
        <f>IF($A664="","",'Blind Count Entry'!C662)</f>
        <v/>
      </c>
      <c r="D664">
        <f>IF($A664="","",'Blind Count Entry'!D662)</f>
        <v/>
      </c>
      <c r="E664">
        <f>IF($A664="","",IFERROR(INDEX('ABC Analysis'!$F:$F,MATCH($C664,'ABC Analysis'!$A:$A,0)),""))</f>
        <v/>
      </c>
      <c r="F664">
        <f>IF($A664="","",IFERROR(INDEX('Master Inventory'!$E:$E,MATCH($C664,'Master Inventory'!$A:$A,0)),0))</f>
        <v/>
      </c>
      <c r="G664">
        <f>IF($A664="","",'Blind Count Entry'!F662)</f>
        <v/>
      </c>
      <c r="H664">
        <f>IF($A664="","",G664-F664)</f>
        <v/>
      </c>
      <c r="I664" s="17">
        <f>IF($A664="","",IF(F664=0,IF(H664=0,0,1),ABS(H664)/F664))</f>
        <v/>
      </c>
      <c r="J664" s="18">
        <f>IF($A664="","",IF($E664="A",$E$1,IF($E664="B",$G$1,$I$1)))</f>
        <v/>
      </c>
      <c r="K664">
        <f>IF($A664="","",IF(H664=0,"MATCH",IF(I664&gt;J664,"RECOUNT","WITHIN TOLERANCE")))</f>
        <v/>
      </c>
      <c r="L664" s="5" t="n"/>
      <c r="M664">
        <f>IF(OR($A664="",$L664=""),"",L664-F664)</f>
        <v/>
      </c>
      <c r="N664" s="5" t="n"/>
      <c r="O664" s="5" t="n"/>
    </row>
    <row r="665">
      <c r="A665">
        <f>IF('Blind Count Entry'!A663="","",'Blind Count Entry'!A663)</f>
        <v/>
      </c>
      <c r="B665" s="16">
        <f>IF($A665="","",'Blind Count Entry'!B663)</f>
        <v/>
      </c>
      <c r="C665">
        <f>IF($A665="","",'Blind Count Entry'!C663)</f>
        <v/>
      </c>
      <c r="D665">
        <f>IF($A665="","",'Blind Count Entry'!D663)</f>
        <v/>
      </c>
      <c r="E665">
        <f>IF($A665="","",IFERROR(INDEX('ABC Analysis'!$F:$F,MATCH($C665,'ABC Analysis'!$A:$A,0)),""))</f>
        <v/>
      </c>
      <c r="F665">
        <f>IF($A665="","",IFERROR(INDEX('Master Inventory'!$E:$E,MATCH($C665,'Master Inventory'!$A:$A,0)),0))</f>
        <v/>
      </c>
      <c r="G665">
        <f>IF($A665="","",'Blind Count Entry'!F663)</f>
        <v/>
      </c>
      <c r="H665">
        <f>IF($A665="","",G665-F665)</f>
        <v/>
      </c>
      <c r="I665" s="17">
        <f>IF($A665="","",IF(F665=0,IF(H665=0,0,1),ABS(H665)/F665))</f>
        <v/>
      </c>
      <c r="J665" s="18">
        <f>IF($A665="","",IF($E665="A",$E$1,IF($E665="B",$G$1,$I$1)))</f>
        <v/>
      </c>
      <c r="K665">
        <f>IF($A665="","",IF(H665=0,"MATCH",IF(I665&gt;J665,"RECOUNT","WITHIN TOLERANCE")))</f>
        <v/>
      </c>
      <c r="L665" s="5" t="n"/>
      <c r="M665">
        <f>IF(OR($A665="",$L665=""),"",L665-F665)</f>
        <v/>
      </c>
      <c r="N665" s="5" t="n"/>
      <c r="O665" s="5" t="n"/>
    </row>
    <row r="666">
      <c r="A666">
        <f>IF('Blind Count Entry'!A664="","",'Blind Count Entry'!A664)</f>
        <v/>
      </c>
      <c r="B666" s="16">
        <f>IF($A666="","",'Blind Count Entry'!B664)</f>
        <v/>
      </c>
      <c r="C666">
        <f>IF($A666="","",'Blind Count Entry'!C664)</f>
        <v/>
      </c>
      <c r="D666">
        <f>IF($A666="","",'Blind Count Entry'!D664)</f>
        <v/>
      </c>
      <c r="E666">
        <f>IF($A666="","",IFERROR(INDEX('ABC Analysis'!$F:$F,MATCH($C666,'ABC Analysis'!$A:$A,0)),""))</f>
        <v/>
      </c>
      <c r="F666">
        <f>IF($A666="","",IFERROR(INDEX('Master Inventory'!$E:$E,MATCH($C666,'Master Inventory'!$A:$A,0)),0))</f>
        <v/>
      </c>
      <c r="G666">
        <f>IF($A666="","",'Blind Count Entry'!F664)</f>
        <v/>
      </c>
      <c r="H666">
        <f>IF($A666="","",G666-F666)</f>
        <v/>
      </c>
      <c r="I666" s="17">
        <f>IF($A666="","",IF(F666=0,IF(H666=0,0,1),ABS(H666)/F666))</f>
        <v/>
      </c>
      <c r="J666" s="18">
        <f>IF($A666="","",IF($E666="A",$E$1,IF($E666="B",$G$1,$I$1)))</f>
        <v/>
      </c>
      <c r="K666">
        <f>IF($A666="","",IF(H666=0,"MATCH",IF(I666&gt;J666,"RECOUNT","WITHIN TOLERANCE")))</f>
        <v/>
      </c>
      <c r="L666" s="5" t="n"/>
      <c r="M666">
        <f>IF(OR($A666="",$L666=""),"",L666-F666)</f>
        <v/>
      </c>
      <c r="N666" s="5" t="n"/>
      <c r="O666" s="5" t="n"/>
    </row>
    <row r="667">
      <c r="A667">
        <f>IF('Blind Count Entry'!A665="","",'Blind Count Entry'!A665)</f>
        <v/>
      </c>
      <c r="B667" s="16">
        <f>IF($A667="","",'Blind Count Entry'!B665)</f>
        <v/>
      </c>
      <c r="C667">
        <f>IF($A667="","",'Blind Count Entry'!C665)</f>
        <v/>
      </c>
      <c r="D667">
        <f>IF($A667="","",'Blind Count Entry'!D665)</f>
        <v/>
      </c>
      <c r="E667">
        <f>IF($A667="","",IFERROR(INDEX('ABC Analysis'!$F:$F,MATCH($C667,'ABC Analysis'!$A:$A,0)),""))</f>
        <v/>
      </c>
      <c r="F667">
        <f>IF($A667="","",IFERROR(INDEX('Master Inventory'!$E:$E,MATCH($C667,'Master Inventory'!$A:$A,0)),0))</f>
        <v/>
      </c>
      <c r="G667">
        <f>IF($A667="","",'Blind Count Entry'!F665)</f>
        <v/>
      </c>
      <c r="H667">
        <f>IF($A667="","",G667-F667)</f>
        <v/>
      </c>
      <c r="I667" s="17">
        <f>IF($A667="","",IF(F667=0,IF(H667=0,0,1),ABS(H667)/F667))</f>
        <v/>
      </c>
      <c r="J667" s="18">
        <f>IF($A667="","",IF($E667="A",$E$1,IF($E667="B",$G$1,$I$1)))</f>
        <v/>
      </c>
      <c r="K667">
        <f>IF($A667="","",IF(H667=0,"MATCH",IF(I667&gt;J667,"RECOUNT","WITHIN TOLERANCE")))</f>
        <v/>
      </c>
      <c r="L667" s="5" t="n"/>
      <c r="M667">
        <f>IF(OR($A667="",$L667=""),"",L667-F667)</f>
        <v/>
      </c>
      <c r="N667" s="5" t="n"/>
      <c r="O667" s="5" t="n"/>
    </row>
    <row r="668">
      <c r="A668">
        <f>IF('Blind Count Entry'!A666="","",'Blind Count Entry'!A666)</f>
        <v/>
      </c>
      <c r="B668" s="16">
        <f>IF($A668="","",'Blind Count Entry'!B666)</f>
        <v/>
      </c>
      <c r="C668">
        <f>IF($A668="","",'Blind Count Entry'!C666)</f>
        <v/>
      </c>
      <c r="D668">
        <f>IF($A668="","",'Blind Count Entry'!D666)</f>
        <v/>
      </c>
      <c r="E668">
        <f>IF($A668="","",IFERROR(INDEX('ABC Analysis'!$F:$F,MATCH($C668,'ABC Analysis'!$A:$A,0)),""))</f>
        <v/>
      </c>
      <c r="F668">
        <f>IF($A668="","",IFERROR(INDEX('Master Inventory'!$E:$E,MATCH($C668,'Master Inventory'!$A:$A,0)),0))</f>
        <v/>
      </c>
      <c r="G668">
        <f>IF($A668="","",'Blind Count Entry'!F666)</f>
        <v/>
      </c>
      <c r="H668">
        <f>IF($A668="","",G668-F668)</f>
        <v/>
      </c>
      <c r="I668" s="17">
        <f>IF($A668="","",IF(F668=0,IF(H668=0,0,1),ABS(H668)/F668))</f>
        <v/>
      </c>
      <c r="J668" s="18">
        <f>IF($A668="","",IF($E668="A",$E$1,IF($E668="B",$G$1,$I$1)))</f>
        <v/>
      </c>
      <c r="K668">
        <f>IF($A668="","",IF(H668=0,"MATCH",IF(I668&gt;J668,"RECOUNT","WITHIN TOLERANCE")))</f>
        <v/>
      </c>
      <c r="L668" s="5" t="n"/>
      <c r="M668">
        <f>IF(OR($A668="",$L668=""),"",L668-F668)</f>
        <v/>
      </c>
      <c r="N668" s="5" t="n"/>
      <c r="O668" s="5" t="n"/>
    </row>
    <row r="669">
      <c r="A669">
        <f>IF('Blind Count Entry'!A667="","",'Blind Count Entry'!A667)</f>
        <v/>
      </c>
      <c r="B669" s="16">
        <f>IF($A669="","",'Blind Count Entry'!B667)</f>
        <v/>
      </c>
      <c r="C669">
        <f>IF($A669="","",'Blind Count Entry'!C667)</f>
        <v/>
      </c>
      <c r="D669">
        <f>IF($A669="","",'Blind Count Entry'!D667)</f>
        <v/>
      </c>
      <c r="E669">
        <f>IF($A669="","",IFERROR(INDEX('ABC Analysis'!$F:$F,MATCH($C669,'ABC Analysis'!$A:$A,0)),""))</f>
        <v/>
      </c>
      <c r="F669">
        <f>IF($A669="","",IFERROR(INDEX('Master Inventory'!$E:$E,MATCH($C669,'Master Inventory'!$A:$A,0)),0))</f>
        <v/>
      </c>
      <c r="G669">
        <f>IF($A669="","",'Blind Count Entry'!F667)</f>
        <v/>
      </c>
      <c r="H669">
        <f>IF($A669="","",G669-F669)</f>
        <v/>
      </c>
      <c r="I669" s="17">
        <f>IF($A669="","",IF(F669=0,IF(H669=0,0,1),ABS(H669)/F669))</f>
        <v/>
      </c>
      <c r="J669" s="18">
        <f>IF($A669="","",IF($E669="A",$E$1,IF($E669="B",$G$1,$I$1)))</f>
        <v/>
      </c>
      <c r="K669">
        <f>IF($A669="","",IF(H669=0,"MATCH",IF(I669&gt;J669,"RECOUNT","WITHIN TOLERANCE")))</f>
        <v/>
      </c>
      <c r="L669" s="5" t="n"/>
      <c r="M669">
        <f>IF(OR($A669="",$L669=""),"",L669-F669)</f>
        <v/>
      </c>
      <c r="N669" s="5" t="n"/>
      <c r="O669" s="5" t="n"/>
    </row>
    <row r="670">
      <c r="A670">
        <f>IF('Blind Count Entry'!A668="","",'Blind Count Entry'!A668)</f>
        <v/>
      </c>
      <c r="B670" s="16">
        <f>IF($A670="","",'Blind Count Entry'!B668)</f>
        <v/>
      </c>
      <c r="C670">
        <f>IF($A670="","",'Blind Count Entry'!C668)</f>
        <v/>
      </c>
      <c r="D670">
        <f>IF($A670="","",'Blind Count Entry'!D668)</f>
        <v/>
      </c>
      <c r="E670">
        <f>IF($A670="","",IFERROR(INDEX('ABC Analysis'!$F:$F,MATCH($C670,'ABC Analysis'!$A:$A,0)),""))</f>
        <v/>
      </c>
      <c r="F670">
        <f>IF($A670="","",IFERROR(INDEX('Master Inventory'!$E:$E,MATCH($C670,'Master Inventory'!$A:$A,0)),0))</f>
        <v/>
      </c>
      <c r="G670">
        <f>IF($A670="","",'Blind Count Entry'!F668)</f>
        <v/>
      </c>
      <c r="H670">
        <f>IF($A670="","",G670-F670)</f>
        <v/>
      </c>
      <c r="I670" s="17">
        <f>IF($A670="","",IF(F670=0,IF(H670=0,0,1),ABS(H670)/F670))</f>
        <v/>
      </c>
      <c r="J670" s="18">
        <f>IF($A670="","",IF($E670="A",$E$1,IF($E670="B",$G$1,$I$1)))</f>
        <v/>
      </c>
      <c r="K670">
        <f>IF($A670="","",IF(H670=0,"MATCH",IF(I670&gt;J670,"RECOUNT","WITHIN TOLERANCE")))</f>
        <v/>
      </c>
      <c r="L670" s="5" t="n"/>
      <c r="M670">
        <f>IF(OR($A670="",$L670=""),"",L670-F670)</f>
        <v/>
      </c>
      <c r="N670" s="5" t="n"/>
      <c r="O670" s="5" t="n"/>
    </row>
    <row r="671">
      <c r="A671">
        <f>IF('Blind Count Entry'!A669="","",'Blind Count Entry'!A669)</f>
        <v/>
      </c>
      <c r="B671" s="16">
        <f>IF($A671="","",'Blind Count Entry'!B669)</f>
        <v/>
      </c>
      <c r="C671">
        <f>IF($A671="","",'Blind Count Entry'!C669)</f>
        <v/>
      </c>
      <c r="D671">
        <f>IF($A671="","",'Blind Count Entry'!D669)</f>
        <v/>
      </c>
      <c r="E671">
        <f>IF($A671="","",IFERROR(INDEX('ABC Analysis'!$F:$F,MATCH($C671,'ABC Analysis'!$A:$A,0)),""))</f>
        <v/>
      </c>
      <c r="F671">
        <f>IF($A671="","",IFERROR(INDEX('Master Inventory'!$E:$E,MATCH($C671,'Master Inventory'!$A:$A,0)),0))</f>
        <v/>
      </c>
      <c r="G671">
        <f>IF($A671="","",'Blind Count Entry'!F669)</f>
        <v/>
      </c>
      <c r="H671">
        <f>IF($A671="","",G671-F671)</f>
        <v/>
      </c>
      <c r="I671" s="17">
        <f>IF($A671="","",IF(F671=0,IF(H671=0,0,1),ABS(H671)/F671))</f>
        <v/>
      </c>
      <c r="J671" s="18">
        <f>IF($A671="","",IF($E671="A",$E$1,IF($E671="B",$G$1,$I$1)))</f>
        <v/>
      </c>
      <c r="K671">
        <f>IF($A671="","",IF(H671=0,"MATCH",IF(I671&gt;J671,"RECOUNT","WITHIN TOLERANCE")))</f>
        <v/>
      </c>
      <c r="L671" s="5" t="n"/>
      <c r="M671">
        <f>IF(OR($A671="",$L671=""),"",L671-F671)</f>
        <v/>
      </c>
      <c r="N671" s="5" t="n"/>
      <c r="O671" s="5" t="n"/>
    </row>
    <row r="672">
      <c r="A672">
        <f>IF('Blind Count Entry'!A670="","",'Blind Count Entry'!A670)</f>
        <v/>
      </c>
      <c r="B672" s="16">
        <f>IF($A672="","",'Blind Count Entry'!B670)</f>
        <v/>
      </c>
      <c r="C672">
        <f>IF($A672="","",'Blind Count Entry'!C670)</f>
        <v/>
      </c>
      <c r="D672">
        <f>IF($A672="","",'Blind Count Entry'!D670)</f>
        <v/>
      </c>
      <c r="E672">
        <f>IF($A672="","",IFERROR(INDEX('ABC Analysis'!$F:$F,MATCH($C672,'ABC Analysis'!$A:$A,0)),""))</f>
        <v/>
      </c>
      <c r="F672">
        <f>IF($A672="","",IFERROR(INDEX('Master Inventory'!$E:$E,MATCH($C672,'Master Inventory'!$A:$A,0)),0))</f>
        <v/>
      </c>
      <c r="G672">
        <f>IF($A672="","",'Blind Count Entry'!F670)</f>
        <v/>
      </c>
      <c r="H672">
        <f>IF($A672="","",G672-F672)</f>
        <v/>
      </c>
      <c r="I672" s="17">
        <f>IF($A672="","",IF(F672=0,IF(H672=0,0,1),ABS(H672)/F672))</f>
        <v/>
      </c>
      <c r="J672" s="18">
        <f>IF($A672="","",IF($E672="A",$E$1,IF($E672="B",$G$1,$I$1)))</f>
        <v/>
      </c>
      <c r="K672">
        <f>IF($A672="","",IF(H672=0,"MATCH",IF(I672&gt;J672,"RECOUNT","WITHIN TOLERANCE")))</f>
        <v/>
      </c>
      <c r="L672" s="5" t="n"/>
      <c r="M672">
        <f>IF(OR($A672="",$L672=""),"",L672-F672)</f>
        <v/>
      </c>
      <c r="N672" s="5" t="n"/>
      <c r="O672" s="5" t="n"/>
    </row>
    <row r="673">
      <c r="A673">
        <f>IF('Blind Count Entry'!A671="","",'Blind Count Entry'!A671)</f>
        <v/>
      </c>
      <c r="B673" s="16">
        <f>IF($A673="","",'Blind Count Entry'!B671)</f>
        <v/>
      </c>
      <c r="C673">
        <f>IF($A673="","",'Blind Count Entry'!C671)</f>
        <v/>
      </c>
      <c r="D673">
        <f>IF($A673="","",'Blind Count Entry'!D671)</f>
        <v/>
      </c>
      <c r="E673">
        <f>IF($A673="","",IFERROR(INDEX('ABC Analysis'!$F:$F,MATCH($C673,'ABC Analysis'!$A:$A,0)),""))</f>
        <v/>
      </c>
      <c r="F673">
        <f>IF($A673="","",IFERROR(INDEX('Master Inventory'!$E:$E,MATCH($C673,'Master Inventory'!$A:$A,0)),0))</f>
        <v/>
      </c>
      <c r="G673">
        <f>IF($A673="","",'Blind Count Entry'!F671)</f>
        <v/>
      </c>
      <c r="H673">
        <f>IF($A673="","",G673-F673)</f>
        <v/>
      </c>
      <c r="I673" s="17">
        <f>IF($A673="","",IF(F673=0,IF(H673=0,0,1),ABS(H673)/F673))</f>
        <v/>
      </c>
      <c r="J673" s="18">
        <f>IF($A673="","",IF($E673="A",$E$1,IF($E673="B",$G$1,$I$1)))</f>
        <v/>
      </c>
      <c r="K673">
        <f>IF($A673="","",IF(H673=0,"MATCH",IF(I673&gt;J673,"RECOUNT","WITHIN TOLERANCE")))</f>
        <v/>
      </c>
      <c r="L673" s="5" t="n"/>
      <c r="M673">
        <f>IF(OR($A673="",$L673=""),"",L673-F673)</f>
        <v/>
      </c>
      <c r="N673" s="5" t="n"/>
      <c r="O673" s="5" t="n"/>
    </row>
    <row r="674">
      <c r="A674">
        <f>IF('Blind Count Entry'!A672="","",'Blind Count Entry'!A672)</f>
        <v/>
      </c>
      <c r="B674" s="16">
        <f>IF($A674="","",'Blind Count Entry'!B672)</f>
        <v/>
      </c>
      <c r="C674">
        <f>IF($A674="","",'Blind Count Entry'!C672)</f>
        <v/>
      </c>
      <c r="D674">
        <f>IF($A674="","",'Blind Count Entry'!D672)</f>
        <v/>
      </c>
      <c r="E674">
        <f>IF($A674="","",IFERROR(INDEX('ABC Analysis'!$F:$F,MATCH($C674,'ABC Analysis'!$A:$A,0)),""))</f>
        <v/>
      </c>
      <c r="F674">
        <f>IF($A674="","",IFERROR(INDEX('Master Inventory'!$E:$E,MATCH($C674,'Master Inventory'!$A:$A,0)),0))</f>
        <v/>
      </c>
      <c r="G674">
        <f>IF($A674="","",'Blind Count Entry'!F672)</f>
        <v/>
      </c>
      <c r="H674">
        <f>IF($A674="","",G674-F674)</f>
        <v/>
      </c>
      <c r="I674" s="17">
        <f>IF($A674="","",IF(F674=0,IF(H674=0,0,1),ABS(H674)/F674))</f>
        <v/>
      </c>
      <c r="J674" s="18">
        <f>IF($A674="","",IF($E674="A",$E$1,IF($E674="B",$G$1,$I$1)))</f>
        <v/>
      </c>
      <c r="K674">
        <f>IF($A674="","",IF(H674=0,"MATCH",IF(I674&gt;J674,"RECOUNT","WITHIN TOLERANCE")))</f>
        <v/>
      </c>
      <c r="L674" s="5" t="n"/>
      <c r="M674">
        <f>IF(OR($A674="",$L674=""),"",L674-F674)</f>
        <v/>
      </c>
      <c r="N674" s="5" t="n"/>
      <c r="O674" s="5" t="n"/>
    </row>
    <row r="675">
      <c r="A675">
        <f>IF('Blind Count Entry'!A673="","",'Blind Count Entry'!A673)</f>
        <v/>
      </c>
      <c r="B675" s="16">
        <f>IF($A675="","",'Blind Count Entry'!B673)</f>
        <v/>
      </c>
      <c r="C675">
        <f>IF($A675="","",'Blind Count Entry'!C673)</f>
        <v/>
      </c>
      <c r="D675">
        <f>IF($A675="","",'Blind Count Entry'!D673)</f>
        <v/>
      </c>
      <c r="E675">
        <f>IF($A675="","",IFERROR(INDEX('ABC Analysis'!$F:$F,MATCH($C675,'ABC Analysis'!$A:$A,0)),""))</f>
        <v/>
      </c>
      <c r="F675">
        <f>IF($A675="","",IFERROR(INDEX('Master Inventory'!$E:$E,MATCH($C675,'Master Inventory'!$A:$A,0)),0))</f>
        <v/>
      </c>
      <c r="G675">
        <f>IF($A675="","",'Blind Count Entry'!F673)</f>
        <v/>
      </c>
      <c r="H675">
        <f>IF($A675="","",G675-F675)</f>
        <v/>
      </c>
      <c r="I675" s="17">
        <f>IF($A675="","",IF(F675=0,IF(H675=0,0,1),ABS(H675)/F675))</f>
        <v/>
      </c>
      <c r="J675" s="18">
        <f>IF($A675="","",IF($E675="A",$E$1,IF($E675="B",$G$1,$I$1)))</f>
        <v/>
      </c>
      <c r="K675">
        <f>IF($A675="","",IF(H675=0,"MATCH",IF(I675&gt;J675,"RECOUNT","WITHIN TOLERANCE")))</f>
        <v/>
      </c>
      <c r="L675" s="5" t="n"/>
      <c r="M675">
        <f>IF(OR($A675="",$L675=""),"",L675-F675)</f>
        <v/>
      </c>
      <c r="N675" s="5" t="n"/>
      <c r="O675" s="5" t="n"/>
    </row>
    <row r="676">
      <c r="A676">
        <f>IF('Blind Count Entry'!A674="","",'Blind Count Entry'!A674)</f>
        <v/>
      </c>
      <c r="B676" s="16">
        <f>IF($A676="","",'Blind Count Entry'!B674)</f>
        <v/>
      </c>
      <c r="C676">
        <f>IF($A676="","",'Blind Count Entry'!C674)</f>
        <v/>
      </c>
      <c r="D676">
        <f>IF($A676="","",'Blind Count Entry'!D674)</f>
        <v/>
      </c>
      <c r="E676">
        <f>IF($A676="","",IFERROR(INDEX('ABC Analysis'!$F:$F,MATCH($C676,'ABC Analysis'!$A:$A,0)),""))</f>
        <v/>
      </c>
      <c r="F676">
        <f>IF($A676="","",IFERROR(INDEX('Master Inventory'!$E:$E,MATCH($C676,'Master Inventory'!$A:$A,0)),0))</f>
        <v/>
      </c>
      <c r="G676">
        <f>IF($A676="","",'Blind Count Entry'!F674)</f>
        <v/>
      </c>
      <c r="H676">
        <f>IF($A676="","",G676-F676)</f>
        <v/>
      </c>
      <c r="I676" s="17">
        <f>IF($A676="","",IF(F676=0,IF(H676=0,0,1),ABS(H676)/F676))</f>
        <v/>
      </c>
      <c r="J676" s="18">
        <f>IF($A676="","",IF($E676="A",$E$1,IF($E676="B",$G$1,$I$1)))</f>
        <v/>
      </c>
      <c r="K676">
        <f>IF($A676="","",IF(H676=0,"MATCH",IF(I676&gt;J676,"RECOUNT","WITHIN TOLERANCE")))</f>
        <v/>
      </c>
      <c r="L676" s="5" t="n"/>
      <c r="M676">
        <f>IF(OR($A676="",$L676=""),"",L676-F676)</f>
        <v/>
      </c>
      <c r="N676" s="5" t="n"/>
      <c r="O676" s="5" t="n"/>
    </row>
    <row r="677">
      <c r="A677">
        <f>IF('Blind Count Entry'!A675="","",'Blind Count Entry'!A675)</f>
        <v/>
      </c>
      <c r="B677" s="16">
        <f>IF($A677="","",'Blind Count Entry'!B675)</f>
        <v/>
      </c>
      <c r="C677">
        <f>IF($A677="","",'Blind Count Entry'!C675)</f>
        <v/>
      </c>
      <c r="D677">
        <f>IF($A677="","",'Blind Count Entry'!D675)</f>
        <v/>
      </c>
      <c r="E677">
        <f>IF($A677="","",IFERROR(INDEX('ABC Analysis'!$F:$F,MATCH($C677,'ABC Analysis'!$A:$A,0)),""))</f>
        <v/>
      </c>
      <c r="F677">
        <f>IF($A677="","",IFERROR(INDEX('Master Inventory'!$E:$E,MATCH($C677,'Master Inventory'!$A:$A,0)),0))</f>
        <v/>
      </c>
      <c r="G677">
        <f>IF($A677="","",'Blind Count Entry'!F675)</f>
        <v/>
      </c>
      <c r="H677">
        <f>IF($A677="","",G677-F677)</f>
        <v/>
      </c>
      <c r="I677" s="17">
        <f>IF($A677="","",IF(F677=0,IF(H677=0,0,1),ABS(H677)/F677))</f>
        <v/>
      </c>
      <c r="J677" s="18">
        <f>IF($A677="","",IF($E677="A",$E$1,IF($E677="B",$G$1,$I$1)))</f>
        <v/>
      </c>
      <c r="K677">
        <f>IF($A677="","",IF(H677=0,"MATCH",IF(I677&gt;J677,"RECOUNT","WITHIN TOLERANCE")))</f>
        <v/>
      </c>
      <c r="L677" s="5" t="n"/>
      <c r="M677">
        <f>IF(OR($A677="",$L677=""),"",L677-F677)</f>
        <v/>
      </c>
      <c r="N677" s="5" t="n"/>
      <c r="O677" s="5" t="n"/>
    </row>
    <row r="678">
      <c r="A678">
        <f>IF('Blind Count Entry'!A676="","",'Blind Count Entry'!A676)</f>
        <v/>
      </c>
      <c r="B678" s="16">
        <f>IF($A678="","",'Blind Count Entry'!B676)</f>
        <v/>
      </c>
      <c r="C678">
        <f>IF($A678="","",'Blind Count Entry'!C676)</f>
        <v/>
      </c>
      <c r="D678">
        <f>IF($A678="","",'Blind Count Entry'!D676)</f>
        <v/>
      </c>
      <c r="E678">
        <f>IF($A678="","",IFERROR(INDEX('ABC Analysis'!$F:$F,MATCH($C678,'ABC Analysis'!$A:$A,0)),""))</f>
        <v/>
      </c>
      <c r="F678">
        <f>IF($A678="","",IFERROR(INDEX('Master Inventory'!$E:$E,MATCH($C678,'Master Inventory'!$A:$A,0)),0))</f>
        <v/>
      </c>
      <c r="G678">
        <f>IF($A678="","",'Blind Count Entry'!F676)</f>
        <v/>
      </c>
      <c r="H678">
        <f>IF($A678="","",G678-F678)</f>
        <v/>
      </c>
      <c r="I678" s="17">
        <f>IF($A678="","",IF(F678=0,IF(H678=0,0,1),ABS(H678)/F678))</f>
        <v/>
      </c>
      <c r="J678" s="18">
        <f>IF($A678="","",IF($E678="A",$E$1,IF($E678="B",$G$1,$I$1)))</f>
        <v/>
      </c>
      <c r="K678">
        <f>IF($A678="","",IF(H678=0,"MATCH",IF(I678&gt;J678,"RECOUNT","WITHIN TOLERANCE")))</f>
        <v/>
      </c>
      <c r="L678" s="5" t="n"/>
      <c r="M678">
        <f>IF(OR($A678="",$L678=""),"",L678-F678)</f>
        <v/>
      </c>
      <c r="N678" s="5" t="n"/>
      <c r="O678" s="5" t="n"/>
    </row>
    <row r="679">
      <c r="A679">
        <f>IF('Blind Count Entry'!A677="","",'Blind Count Entry'!A677)</f>
        <v/>
      </c>
      <c r="B679" s="16">
        <f>IF($A679="","",'Blind Count Entry'!B677)</f>
        <v/>
      </c>
      <c r="C679">
        <f>IF($A679="","",'Blind Count Entry'!C677)</f>
        <v/>
      </c>
      <c r="D679">
        <f>IF($A679="","",'Blind Count Entry'!D677)</f>
        <v/>
      </c>
      <c r="E679">
        <f>IF($A679="","",IFERROR(INDEX('ABC Analysis'!$F:$F,MATCH($C679,'ABC Analysis'!$A:$A,0)),""))</f>
        <v/>
      </c>
      <c r="F679">
        <f>IF($A679="","",IFERROR(INDEX('Master Inventory'!$E:$E,MATCH($C679,'Master Inventory'!$A:$A,0)),0))</f>
        <v/>
      </c>
      <c r="G679">
        <f>IF($A679="","",'Blind Count Entry'!F677)</f>
        <v/>
      </c>
      <c r="H679">
        <f>IF($A679="","",G679-F679)</f>
        <v/>
      </c>
      <c r="I679" s="17">
        <f>IF($A679="","",IF(F679=0,IF(H679=0,0,1),ABS(H679)/F679))</f>
        <v/>
      </c>
      <c r="J679" s="18">
        <f>IF($A679="","",IF($E679="A",$E$1,IF($E679="B",$G$1,$I$1)))</f>
        <v/>
      </c>
      <c r="K679">
        <f>IF($A679="","",IF(H679=0,"MATCH",IF(I679&gt;J679,"RECOUNT","WITHIN TOLERANCE")))</f>
        <v/>
      </c>
      <c r="L679" s="5" t="n"/>
      <c r="M679">
        <f>IF(OR($A679="",$L679=""),"",L679-F679)</f>
        <v/>
      </c>
      <c r="N679" s="5" t="n"/>
      <c r="O679" s="5" t="n"/>
    </row>
    <row r="680">
      <c r="A680">
        <f>IF('Blind Count Entry'!A678="","",'Blind Count Entry'!A678)</f>
        <v/>
      </c>
      <c r="B680" s="16">
        <f>IF($A680="","",'Blind Count Entry'!B678)</f>
        <v/>
      </c>
      <c r="C680">
        <f>IF($A680="","",'Blind Count Entry'!C678)</f>
        <v/>
      </c>
      <c r="D680">
        <f>IF($A680="","",'Blind Count Entry'!D678)</f>
        <v/>
      </c>
      <c r="E680">
        <f>IF($A680="","",IFERROR(INDEX('ABC Analysis'!$F:$F,MATCH($C680,'ABC Analysis'!$A:$A,0)),""))</f>
        <v/>
      </c>
      <c r="F680">
        <f>IF($A680="","",IFERROR(INDEX('Master Inventory'!$E:$E,MATCH($C680,'Master Inventory'!$A:$A,0)),0))</f>
        <v/>
      </c>
      <c r="G680">
        <f>IF($A680="","",'Blind Count Entry'!F678)</f>
        <v/>
      </c>
      <c r="H680">
        <f>IF($A680="","",G680-F680)</f>
        <v/>
      </c>
      <c r="I680" s="17">
        <f>IF($A680="","",IF(F680=0,IF(H680=0,0,1),ABS(H680)/F680))</f>
        <v/>
      </c>
      <c r="J680" s="18">
        <f>IF($A680="","",IF($E680="A",$E$1,IF($E680="B",$G$1,$I$1)))</f>
        <v/>
      </c>
      <c r="K680">
        <f>IF($A680="","",IF(H680=0,"MATCH",IF(I680&gt;J680,"RECOUNT","WITHIN TOLERANCE")))</f>
        <v/>
      </c>
      <c r="L680" s="5" t="n"/>
      <c r="M680">
        <f>IF(OR($A680="",$L680=""),"",L680-F680)</f>
        <v/>
      </c>
      <c r="N680" s="5" t="n"/>
      <c r="O680" s="5" t="n"/>
    </row>
    <row r="681">
      <c r="A681">
        <f>IF('Blind Count Entry'!A679="","",'Blind Count Entry'!A679)</f>
        <v/>
      </c>
      <c r="B681" s="16">
        <f>IF($A681="","",'Blind Count Entry'!B679)</f>
        <v/>
      </c>
      <c r="C681">
        <f>IF($A681="","",'Blind Count Entry'!C679)</f>
        <v/>
      </c>
      <c r="D681">
        <f>IF($A681="","",'Blind Count Entry'!D679)</f>
        <v/>
      </c>
      <c r="E681">
        <f>IF($A681="","",IFERROR(INDEX('ABC Analysis'!$F:$F,MATCH($C681,'ABC Analysis'!$A:$A,0)),""))</f>
        <v/>
      </c>
      <c r="F681">
        <f>IF($A681="","",IFERROR(INDEX('Master Inventory'!$E:$E,MATCH($C681,'Master Inventory'!$A:$A,0)),0))</f>
        <v/>
      </c>
      <c r="G681">
        <f>IF($A681="","",'Blind Count Entry'!F679)</f>
        <v/>
      </c>
      <c r="H681">
        <f>IF($A681="","",G681-F681)</f>
        <v/>
      </c>
      <c r="I681" s="17">
        <f>IF($A681="","",IF(F681=0,IF(H681=0,0,1),ABS(H681)/F681))</f>
        <v/>
      </c>
      <c r="J681" s="18">
        <f>IF($A681="","",IF($E681="A",$E$1,IF($E681="B",$G$1,$I$1)))</f>
        <v/>
      </c>
      <c r="K681">
        <f>IF($A681="","",IF(H681=0,"MATCH",IF(I681&gt;J681,"RECOUNT","WITHIN TOLERANCE")))</f>
        <v/>
      </c>
      <c r="L681" s="5" t="n"/>
      <c r="M681">
        <f>IF(OR($A681="",$L681=""),"",L681-F681)</f>
        <v/>
      </c>
      <c r="N681" s="5" t="n"/>
      <c r="O681" s="5" t="n"/>
    </row>
    <row r="682">
      <c r="A682">
        <f>IF('Blind Count Entry'!A680="","",'Blind Count Entry'!A680)</f>
        <v/>
      </c>
      <c r="B682" s="16">
        <f>IF($A682="","",'Blind Count Entry'!B680)</f>
        <v/>
      </c>
      <c r="C682">
        <f>IF($A682="","",'Blind Count Entry'!C680)</f>
        <v/>
      </c>
      <c r="D682">
        <f>IF($A682="","",'Blind Count Entry'!D680)</f>
        <v/>
      </c>
      <c r="E682">
        <f>IF($A682="","",IFERROR(INDEX('ABC Analysis'!$F:$F,MATCH($C682,'ABC Analysis'!$A:$A,0)),""))</f>
        <v/>
      </c>
      <c r="F682">
        <f>IF($A682="","",IFERROR(INDEX('Master Inventory'!$E:$E,MATCH($C682,'Master Inventory'!$A:$A,0)),0))</f>
        <v/>
      </c>
      <c r="G682">
        <f>IF($A682="","",'Blind Count Entry'!F680)</f>
        <v/>
      </c>
      <c r="H682">
        <f>IF($A682="","",G682-F682)</f>
        <v/>
      </c>
      <c r="I682" s="17">
        <f>IF($A682="","",IF(F682=0,IF(H682=0,0,1),ABS(H682)/F682))</f>
        <v/>
      </c>
      <c r="J682" s="18">
        <f>IF($A682="","",IF($E682="A",$E$1,IF($E682="B",$G$1,$I$1)))</f>
        <v/>
      </c>
      <c r="K682">
        <f>IF($A682="","",IF(H682=0,"MATCH",IF(I682&gt;J682,"RECOUNT","WITHIN TOLERANCE")))</f>
        <v/>
      </c>
      <c r="L682" s="5" t="n"/>
      <c r="M682">
        <f>IF(OR($A682="",$L682=""),"",L682-F682)</f>
        <v/>
      </c>
      <c r="N682" s="5" t="n"/>
      <c r="O682" s="5" t="n"/>
    </row>
    <row r="683">
      <c r="A683">
        <f>IF('Blind Count Entry'!A681="","",'Blind Count Entry'!A681)</f>
        <v/>
      </c>
      <c r="B683" s="16">
        <f>IF($A683="","",'Blind Count Entry'!B681)</f>
        <v/>
      </c>
      <c r="C683">
        <f>IF($A683="","",'Blind Count Entry'!C681)</f>
        <v/>
      </c>
      <c r="D683">
        <f>IF($A683="","",'Blind Count Entry'!D681)</f>
        <v/>
      </c>
      <c r="E683">
        <f>IF($A683="","",IFERROR(INDEX('ABC Analysis'!$F:$F,MATCH($C683,'ABC Analysis'!$A:$A,0)),""))</f>
        <v/>
      </c>
      <c r="F683">
        <f>IF($A683="","",IFERROR(INDEX('Master Inventory'!$E:$E,MATCH($C683,'Master Inventory'!$A:$A,0)),0))</f>
        <v/>
      </c>
      <c r="G683">
        <f>IF($A683="","",'Blind Count Entry'!F681)</f>
        <v/>
      </c>
      <c r="H683">
        <f>IF($A683="","",G683-F683)</f>
        <v/>
      </c>
      <c r="I683" s="17">
        <f>IF($A683="","",IF(F683=0,IF(H683=0,0,1),ABS(H683)/F683))</f>
        <v/>
      </c>
      <c r="J683" s="18">
        <f>IF($A683="","",IF($E683="A",$E$1,IF($E683="B",$G$1,$I$1)))</f>
        <v/>
      </c>
      <c r="K683">
        <f>IF($A683="","",IF(H683=0,"MATCH",IF(I683&gt;J683,"RECOUNT","WITHIN TOLERANCE")))</f>
        <v/>
      </c>
      <c r="L683" s="5" t="n"/>
      <c r="M683">
        <f>IF(OR($A683="",$L683=""),"",L683-F683)</f>
        <v/>
      </c>
      <c r="N683" s="5" t="n"/>
      <c r="O683" s="5" t="n"/>
    </row>
    <row r="684">
      <c r="A684">
        <f>IF('Blind Count Entry'!A682="","",'Blind Count Entry'!A682)</f>
        <v/>
      </c>
      <c r="B684" s="16">
        <f>IF($A684="","",'Blind Count Entry'!B682)</f>
        <v/>
      </c>
      <c r="C684">
        <f>IF($A684="","",'Blind Count Entry'!C682)</f>
        <v/>
      </c>
      <c r="D684">
        <f>IF($A684="","",'Blind Count Entry'!D682)</f>
        <v/>
      </c>
      <c r="E684">
        <f>IF($A684="","",IFERROR(INDEX('ABC Analysis'!$F:$F,MATCH($C684,'ABC Analysis'!$A:$A,0)),""))</f>
        <v/>
      </c>
      <c r="F684">
        <f>IF($A684="","",IFERROR(INDEX('Master Inventory'!$E:$E,MATCH($C684,'Master Inventory'!$A:$A,0)),0))</f>
        <v/>
      </c>
      <c r="G684">
        <f>IF($A684="","",'Blind Count Entry'!F682)</f>
        <v/>
      </c>
      <c r="H684">
        <f>IF($A684="","",G684-F684)</f>
        <v/>
      </c>
      <c r="I684" s="17">
        <f>IF($A684="","",IF(F684=0,IF(H684=0,0,1),ABS(H684)/F684))</f>
        <v/>
      </c>
      <c r="J684" s="18">
        <f>IF($A684="","",IF($E684="A",$E$1,IF($E684="B",$G$1,$I$1)))</f>
        <v/>
      </c>
      <c r="K684">
        <f>IF($A684="","",IF(H684=0,"MATCH",IF(I684&gt;J684,"RECOUNT","WITHIN TOLERANCE")))</f>
        <v/>
      </c>
      <c r="L684" s="5" t="n"/>
      <c r="M684">
        <f>IF(OR($A684="",$L684=""),"",L684-F684)</f>
        <v/>
      </c>
      <c r="N684" s="5" t="n"/>
      <c r="O684" s="5" t="n"/>
    </row>
    <row r="685">
      <c r="A685">
        <f>IF('Blind Count Entry'!A683="","",'Blind Count Entry'!A683)</f>
        <v/>
      </c>
      <c r="B685" s="16">
        <f>IF($A685="","",'Blind Count Entry'!B683)</f>
        <v/>
      </c>
      <c r="C685">
        <f>IF($A685="","",'Blind Count Entry'!C683)</f>
        <v/>
      </c>
      <c r="D685">
        <f>IF($A685="","",'Blind Count Entry'!D683)</f>
        <v/>
      </c>
      <c r="E685">
        <f>IF($A685="","",IFERROR(INDEX('ABC Analysis'!$F:$F,MATCH($C685,'ABC Analysis'!$A:$A,0)),""))</f>
        <v/>
      </c>
      <c r="F685">
        <f>IF($A685="","",IFERROR(INDEX('Master Inventory'!$E:$E,MATCH($C685,'Master Inventory'!$A:$A,0)),0))</f>
        <v/>
      </c>
      <c r="G685">
        <f>IF($A685="","",'Blind Count Entry'!F683)</f>
        <v/>
      </c>
      <c r="H685">
        <f>IF($A685="","",G685-F685)</f>
        <v/>
      </c>
      <c r="I685" s="17">
        <f>IF($A685="","",IF(F685=0,IF(H685=0,0,1),ABS(H685)/F685))</f>
        <v/>
      </c>
      <c r="J685" s="18">
        <f>IF($A685="","",IF($E685="A",$E$1,IF($E685="B",$G$1,$I$1)))</f>
        <v/>
      </c>
      <c r="K685">
        <f>IF($A685="","",IF(H685=0,"MATCH",IF(I685&gt;J685,"RECOUNT","WITHIN TOLERANCE")))</f>
        <v/>
      </c>
      <c r="L685" s="5" t="n"/>
      <c r="M685">
        <f>IF(OR($A685="",$L685=""),"",L685-F685)</f>
        <v/>
      </c>
      <c r="N685" s="5" t="n"/>
      <c r="O685" s="5" t="n"/>
    </row>
    <row r="686">
      <c r="A686">
        <f>IF('Blind Count Entry'!A684="","",'Blind Count Entry'!A684)</f>
        <v/>
      </c>
      <c r="B686" s="16">
        <f>IF($A686="","",'Blind Count Entry'!B684)</f>
        <v/>
      </c>
      <c r="C686">
        <f>IF($A686="","",'Blind Count Entry'!C684)</f>
        <v/>
      </c>
      <c r="D686">
        <f>IF($A686="","",'Blind Count Entry'!D684)</f>
        <v/>
      </c>
      <c r="E686">
        <f>IF($A686="","",IFERROR(INDEX('ABC Analysis'!$F:$F,MATCH($C686,'ABC Analysis'!$A:$A,0)),""))</f>
        <v/>
      </c>
      <c r="F686">
        <f>IF($A686="","",IFERROR(INDEX('Master Inventory'!$E:$E,MATCH($C686,'Master Inventory'!$A:$A,0)),0))</f>
        <v/>
      </c>
      <c r="G686">
        <f>IF($A686="","",'Blind Count Entry'!F684)</f>
        <v/>
      </c>
      <c r="H686">
        <f>IF($A686="","",G686-F686)</f>
        <v/>
      </c>
      <c r="I686" s="17">
        <f>IF($A686="","",IF(F686=0,IF(H686=0,0,1),ABS(H686)/F686))</f>
        <v/>
      </c>
      <c r="J686" s="18">
        <f>IF($A686="","",IF($E686="A",$E$1,IF($E686="B",$G$1,$I$1)))</f>
        <v/>
      </c>
      <c r="K686">
        <f>IF($A686="","",IF(H686=0,"MATCH",IF(I686&gt;J686,"RECOUNT","WITHIN TOLERANCE")))</f>
        <v/>
      </c>
      <c r="L686" s="5" t="n"/>
      <c r="M686">
        <f>IF(OR($A686="",$L686=""),"",L686-F686)</f>
        <v/>
      </c>
      <c r="N686" s="5" t="n"/>
      <c r="O686" s="5" t="n"/>
    </row>
    <row r="687">
      <c r="A687">
        <f>IF('Blind Count Entry'!A685="","",'Blind Count Entry'!A685)</f>
        <v/>
      </c>
      <c r="B687" s="16">
        <f>IF($A687="","",'Blind Count Entry'!B685)</f>
        <v/>
      </c>
      <c r="C687">
        <f>IF($A687="","",'Blind Count Entry'!C685)</f>
        <v/>
      </c>
      <c r="D687">
        <f>IF($A687="","",'Blind Count Entry'!D685)</f>
        <v/>
      </c>
      <c r="E687">
        <f>IF($A687="","",IFERROR(INDEX('ABC Analysis'!$F:$F,MATCH($C687,'ABC Analysis'!$A:$A,0)),""))</f>
        <v/>
      </c>
      <c r="F687">
        <f>IF($A687="","",IFERROR(INDEX('Master Inventory'!$E:$E,MATCH($C687,'Master Inventory'!$A:$A,0)),0))</f>
        <v/>
      </c>
      <c r="G687">
        <f>IF($A687="","",'Blind Count Entry'!F685)</f>
        <v/>
      </c>
      <c r="H687">
        <f>IF($A687="","",G687-F687)</f>
        <v/>
      </c>
      <c r="I687" s="17">
        <f>IF($A687="","",IF(F687=0,IF(H687=0,0,1),ABS(H687)/F687))</f>
        <v/>
      </c>
      <c r="J687" s="18">
        <f>IF($A687="","",IF($E687="A",$E$1,IF($E687="B",$G$1,$I$1)))</f>
        <v/>
      </c>
      <c r="K687">
        <f>IF($A687="","",IF(H687=0,"MATCH",IF(I687&gt;J687,"RECOUNT","WITHIN TOLERANCE")))</f>
        <v/>
      </c>
      <c r="L687" s="5" t="n"/>
      <c r="M687">
        <f>IF(OR($A687="",$L687=""),"",L687-F687)</f>
        <v/>
      </c>
      <c r="N687" s="5" t="n"/>
      <c r="O687" s="5" t="n"/>
    </row>
    <row r="688">
      <c r="A688">
        <f>IF('Blind Count Entry'!A686="","",'Blind Count Entry'!A686)</f>
        <v/>
      </c>
      <c r="B688" s="16">
        <f>IF($A688="","",'Blind Count Entry'!B686)</f>
        <v/>
      </c>
      <c r="C688">
        <f>IF($A688="","",'Blind Count Entry'!C686)</f>
        <v/>
      </c>
      <c r="D688">
        <f>IF($A688="","",'Blind Count Entry'!D686)</f>
        <v/>
      </c>
      <c r="E688">
        <f>IF($A688="","",IFERROR(INDEX('ABC Analysis'!$F:$F,MATCH($C688,'ABC Analysis'!$A:$A,0)),""))</f>
        <v/>
      </c>
      <c r="F688">
        <f>IF($A688="","",IFERROR(INDEX('Master Inventory'!$E:$E,MATCH($C688,'Master Inventory'!$A:$A,0)),0))</f>
        <v/>
      </c>
      <c r="G688">
        <f>IF($A688="","",'Blind Count Entry'!F686)</f>
        <v/>
      </c>
      <c r="H688">
        <f>IF($A688="","",G688-F688)</f>
        <v/>
      </c>
      <c r="I688" s="17">
        <f>IF($A688="","",IF(F688=0,IF(H688=0,0,1),ABS(H688)/F688))</f>
        <v/>
      </c>
      <c r="J688" s="18">
        <f>IF($A688="","",IF($E688="A",$E$1,IF($E688="B",$G$1,$I$1)))</f>
        <v/>
      </c>
      <c r="K688">
        <f>IF($A688="","",IF(H688=0,"MATCH",IF(I688&gt;J688,"RECOUNT","WITHIN TOLERANCE")))</f>
        <v/>
      </c>
      <c r="L688" s="5" t="n"/>
      <c r="M688">
        <f>IF(OR($A688="",$L688=""),"",L688-F688)</f>
        <v/>
      </c>
      <c r="N688" s="5" t="n"/>
      <c r="O688" s="5" t="n"/>
    </row>
    <row r="689">
      <c r="A689">
        <f>IF('Blind Count Entry'!A687="","",'Blind Count Entry'!A687)</f>
        <v/>
      </c>
      <c r="B689" s="16">
        <f>IF($A689="","",'Blind Count Entry'!B687)</f>
        <v/>
      </c>
      <c r="C689">
        <f>IF($A689="","",'Blind Count Entry'!C687)</f>
        <v/>
      </c>
      <c r="D689">
        <f>IF($A689="","",'Blind Count Entry'!D687)</f>
        <v/>
      </c>
      <c r="E689">
        <f>IF($A689="","",IFERROR(INDEX('ABC Analysis'!$F:$F,MATCH($C689,'ABC Analysis'!$A:$A,0)),""))</f>
        <v/>
      </c>
      <c r="F689">
        <f>IF($A689="","",IFERROR(INDEX('Master Inventory'!$E:$E,MATCH($C689,'Master Inventory'!$A:$A,0)),0))</f>
        <v/>
      </c>
      <c r="G689">
        <f>IF($A689="","",'Blind Count Entry'!F687)</f>
        <v/>
      </c>
      <c r="H689">
        <f>IF($A689="","",G689-F689)</f>
        <v/>
      </c>
      <c r="I689" s="17">
        <f>IF($A689="","",IF(F689=0,IF(H689=0,0,1),ABS(H689)/F689))</f>
        <v/>
      </c>
      <c r="J689" s="18">
        <f>IF($A689="","",IF($E689="A",$E$1,IF($E689="B",$G$1,$I$1)))</f>
        <v/>
      </c>
      <c r="K689">
        <f>IF($A689="","",IF(H689=0,"MATCH",IF(I689&gt;J689,"RECOUNT","WITHIN TOLERANCE")))</f>
        <v/>
      </c>
      <c r="L689" s="5" t="n"/>
      <c r="M689">
        <f>IF(OR($A689="",$L689=""),"",L689-F689)</f>
        <v/>
      </c>
      <c r="N689" s="5" t="n"/>
      <c r="O689" s="5" t="n"/>
    </row>
    <row r="690">
      <c r="A690">
        <f>IF('Blind Count Entry'!A688="","",'Blind Count Entry'!A688)</f>
        <v/>
      </c>
      <c r="B690" s="16">
        <f>IF($A690="","",'Blind Count Entry'!B688)</f>
        <v/>
      </c>
      <c r="C690">
        <f>IF($A690="","",'Blind Count Entry'!C688)</f>
        <v/>
      </c>
      <c r="D690">
        <f>IF($A690="","",'Blind Count Entry'!D688)</f>
        <v/>
      </c>
      <c r="E690">
        <f>IF($A690="","",IFERROR(INDEX('ABC Analysis'!$F:$F,MATCH($C690,'ABC Analysis'!$A:$A,0)),""))</f>
        <v/>
      </c>
      <c r="F690">
        <f>IF($A690="","",IFERROR(INDEX('Master Inventory'!$E:$E,MATCH($C690,'Master Inventory'!$A:$A,0)),0))</f>
        <v/>
      </c>
      <c r="G690">
        <f>IF($A690="","",'Blind Count Entry'!F688)</f>
        <v/>
      </c>
      <c r="H690">
        <f>IF($A690="","",G690-F690)</f>
        <v/>
      </c>
      <c r="I690" s="17">
        <f>IF($A690="","",IF(F690=0,IF(H690=0,0,1),ABS(H690)/F690))</f>
        <v/>
      </c>
      <c r="J690" s="18">
        <f>IF($A690="","",IF($E690="A",$E$1,IF($E690="B",$G$1,$I$1)))</f>
        <v/>
      </c>
      <c r="K690">
        <f>IF($A690="","",IF(H690=0,"MATCH",IF(I690&gt;J690,"RECOUNT","WITHIN TOLERANCE")))</f>
        <v/>
      </c>
      <c r="L690" s="5" t="n"/>
      <c r="M690">
        <f>IF(OR($A690="",$L690=""),"",L690-F690)</f>
        <v/>
      </c>
      <c r="N690" s="5" t="n"/>
      <c r="O690" s="5" t="n"/>
    </row>
    <row r="691">
      <c r="A691">
        <f>IF('Blind Count Entry'!A689="","",'Blind Count Entry'!A689)</f>
        <v/>
      </c>
      <c r="B691" s="16">
        <f>IF($A691="","",'Blind Count Entry'!B689)</f>
        <v/>
      </c>
      <c r="C691">
        <f>IF($A691="","",'Blind Count Entry'!C689)</f>
        <v/>
      </c>
      <c r="D691">
        <f>IF($A691="","",'Blind Count Entry'!D689)</f>
        <v/>
      </c>
      <c r="E691">
        <f>IF($A691="","",IFERROR(INDEX('ABC Analysis'!$F:$F,MATCH($C691,'ABC Analysis'!$A:$A,0)),""))</f>
        <v/>
      </c>
      <c r="F691">
        <f>IF($A691="","",IFERROR(INDEX('Master Inventory'!$E:$E,MATCH($C691,'Master Inventory'!$A:$A,0)),0))</f>
        <v/>
      </c>
      <c r="G691">
        <f>IF($A691="","",'Blind Count Entry'!F689)</f>
        <v/>
      </c>
      <c r="H691">
        <f>IF($A691="","",G691-F691)</f>
        <v/>
      </c>
      <c r="I691" s="17">
        <f>IF($A691="","",IF(F691=0,IF(H691=0,0,1),ABS(H691)/F691))</f>
        <v/>
      </c>
      <c r="J691" s="18">
        <f>IF($A691="","",IF($E691="A",$E$1,IF($E691="B",$G$1,$I$1)))</f>
        <v/>
      </c>
      <c r="K691">
        <f>IF($A691="","",IF(H691=0,"MATCH",IF(I691&gt;J691,"RECOUNT","WITHIN TOLERANCE")))</f>
        <v/>
      </c>
      <c r="L691" s="5" t="n"/>
      <c r="M691">
        <f>IF(OR($A691="",$L691=""),"",L691-F691)</f>
        <v/>
      </c>
      <c r="N691" s="5" t="n"/>
      <c r="O691" s="5" t="n"/>
    </row>
    <row r="692">
      <c r="A692">
        <f>IF('Blind Count Entry'!A690="","",'Blind Count Entry'!A690)</f>
        <v/>
      </c>
      <c r="B692" s="16">
        <f>IF($A692="","",'Blind Count Entry'!B690)</f>
        <v/>
      </c>
      <c r="C692">
        <f>IF($A692="","",'Blind Count Entry'!C690)</f>
        <v/>
      </c>
      <c r="D692">
        <f>IF($A692="","",'Blind Count Entry'!D690)</f>
        <v/>
      </c>
      <c r="E692">
        <f>IF($A692="","",IFERROR(INDEX('ABC Analysis'!$F:$F,MATCH($C692,'ABC Analysis'!$A:$A,0)),""))</f>
        <v/>
      </c>
      <c r="F692">
        <f>IF($A692="","",IFERROR(INDEX('Master Inventory'!$E:$E,MATCH($C692,'Master Inventory'!$A:$A,0)),0))</f>
        <v/>
      </c>
      <c r="G692">
        <f>IF($A692="","",'Blind Count Entry'!F690)</f>
        <v/>
      </c>
      <c r="H692">
        <f>IF($A692="","",G692-F692)</f>
        <v/>
      </c>
      <c r="I692" s="17">
        <f>IF($A692="","",IF(F692=0,IF(H692=0,0,1),ABS(H692)/F692))</f>
        <v/>
      </c>
      <c r="J692" s="18">
        <f>IF($A692="","",IF($E692="A",$E$1,IF($E692="B",$G$1,$I$1)))</f>
        <v/>
      </c>
      <c r="K692">
        <f>IF($A692="","",IF(H692=0,"MATCH",IF(I692&gt;J692,"RECOUNT","WITHIN TOLERANCE")))</f>
        <v/>
      </c>
      <c r="L692" s="5" t="n"/>
      <c r="M692">
        <f>IF(OR($A692="",$L692=""),"",L692-F692)</f>
        <v/>
      </c>
      <c r="N692" s="5" t="n"/>
      <c r="O692" s="5" t="n"/>
    </row>
    <row r="693">
      <c r="A693">
        <f>IF('Blind Count Entry'!A691="","",'Blind Count Entry'!A691)</f>
        <v/>
      </c>
      <c r="B693" s="16">
        <f>IF($A693="","",'Blind Count Entry'!B691)</f>
        <v/>
      </c>
      <c r="C693">
        <f>IF($A693="","",'Blind Count Entry'!C691)</f>
        <v/>
      </c>
      <c r="D693">
        <f>IF($A693="","",'Blind Count Entry'!D691)</f>
        <v/>
      </c>
      <c r="E693">
        <f>IF($A693="","",IFERROR(INDEX('ABC Analysis'!$F:$F,MATCH($C693,'ABC Analysis'!$A:$A,0)),""))</f>
        <v/>
      </c>
      <c r="F693">
        <f>IF($A693="","",IFERROR(INDEX('Master Inventory'!$E:$E,MATCH($C693,'Master Inventory'!$A:$A,0)),0))</f>
        <v/>
      </c>
      <c r="G693">
        <f>IF($A693="","",'Blind Count Entry'!F691)</f>
        <v/>
      </c>
      <c r="H693">
        <f>IF($A693="","",G693-F693)</f>
        <v/>
      </c>
      <c r="I693" s="17">
        <f>IF($A693="","",IF(F693=0,IF(H693=0,0,1),ABS(H693)/F693))</f>
        <v/>
      </c>
      <c r="J693" s="18">
        <f>IF($A693="","",IF($E693="A",$E$1,IF($E693="B",$G$1,$I$1)))</f>
        <v/>
      </c>
      <c r="K693">
        <f>IF($A693="","",IF(H693=0,"MATCH",IF(I693&gt;J693,"RECOUNT","WITHIN TOLERANCE")))</f>
        <v/>
      </c>
      <c r="L693" s="5" t="n"/>
      <c r="M693">
        <f>IF(OR($A693="",$L693=""),"",L693-F693)</f>
        <v/>
      </c>
      <c r="N693" s="5" t="n"/>
      <c r="O693" s="5" t="n"/>
    </row>
    <row r="694">
      <c r="A694">
        <f>IF('Blind Count Entry'!A692="","",'Blind Count Entry'!A692)</f>
        <v/>
      </c>
      <c r="B694" s="16">
        <f>IF($A694="","",'Blind Count Entry'!B692)</f>
        <v/>
      </c>
      <c r="C694">
        <f>IF($A694="","",'Blind Count Entry'!C692)</f>
        <v/>
      </c>
      <c r="D694">
        <f>IF($A694="","",'Blind Count Entry'!D692)</f>
        <v/>
      </c>
      <c r="E694">
        <f>IF($A694="","",IFERROR(INDEX('ABC Analysis'!$F:$F,MATCH($C694,'ABC Analysis'!$A:$A,0)),""))</f>
        <v/>
      </c>
      <c r="F694">
        <f>IF($A694="","",IFERROR(INDEX('Master Inventory'!$E:$E,MATCH($C694,'Master Inventory'!$A:$A,0)),0))</f>
        <v/>
      </c>
      <c r="G694">
        <f>IF($A694="","",'Blind Count Entry'!F692)</f>
        <v/>
      </c>
      <c r="H694">
        <f>IF($A694="","",G694-F694)</f>
        <v/>
      </c>
      <c r="I694" s="17">
        <f>IF($A694="","",IF(F694=0,IF(H694=0,0,1),ABS(H694)/F694))</f>
        <v/>
      </c>
      <c r="J694" s="18">
        <f>IF($A694="","",IF($E694="A",$E$1,IF($E694="B",$G$1,$I$1)))</f>
        <v/>
      </c>
      <c r="K694">
        <f>IF($A694="","",IF(H694=0,"MATCH",IF(I694&gt;J694,"RECOUNT","WITHIN TOLERANCE")))</f>
        <v/>
      </c>
      <c r="L694" s="5" t="n"/>
      <c r="M694">
        <f>IF(OR($A694="",$L694=""),"",L694-F694)</f>
        <v/>
      </c>
      <c r="N694" s="5" t="n"/>
      <c r="O694" s="5" t="n"/>
    </row>
    <row r="695">
      <c r="A695">
        <f>IF('Blind Count Entry'!A693="","",'Blind Count Entry'!A693)</f>
        <v/>
      </c>
      <c r="B695" s="16">
        <f>IF($A695="","",'Blind Count Entry'!B693)</f>
        <v/>
      </c>
      <c r="C695">
        <f>IF($A695="","",'Blind Count Entry'!C693)</f>
        <v/>
      </c>
      <c r="D695">
        <f>IF($A695="","",'Blind Count Entry'!D693)</f>
        <v/>
      </c>
      <c r="E695">
        <f>IF($A695="","",IFERROR(INDEX('ABC Analysis'!$F:$F,MATCH($C695,'ABC Analysis'!$A:$A,0)),""))</f>
        <v/>
      </c>
      <c r="F695">
        <f>IF($A695="","",IFERROR(INDEX('Master Inventory'!$E:$E,MATCH($C695,'Master Inventory'!$A:$A,0)),0))</f>
        <v/>
      </c>
      <c r="G695">
        <f>IF($A695="","",'Blind Count Entry'!F693)</f>
        <v/>
      </c>
      <c r="H695">
        <f>IF($A695="","",G695-F695)</f>
        <v/>
      </c>
      <c r="I695" s="17">
        <f>IF($A695="","",IF(F695=0,IF(H695=0,0,1),ABS(H695)/F695))</f>
        <v/>
      </c>
      <c r="J695" s="18">
        <f>IF($A695="","",IF($E695="A",$E$1,IF($E695="B",$G$1,$I$1)))</f>
        <v/>
      </c>
      <c r="K695">
        <f>IF($A695="","",IF(H695=0,"MATCH",IF(I695&gt;J695,"RECOUNT","WITHIN TOLERANCE")))</f>
        <v/>
      </c>
      <c r="L695" s="5" t="n"/>
      <c r="M695">
        <f>IF(OR($A695="",$L695=""),"",L695-F695)</f>
        <v/>
      </c>
      <c r="N695" s="5" t="n"/>
      <c r="O695" s="5" t="n"/>
    </row>
    <row r="696">
      <c r="A696">
        <f>IF('Blind Count Entry'!A694="","",'Blind Count Entry'!A694)</f>
        <v/>
      </c>
      <c r="B696" s="16">
        <f>IF($A696="","",'Blind Count Entry'!B694)</f>
        <v/>
      </c>
      <c r="C696">
        <f>IF($A696="","",'Blind Count Entry'!C694)</f>
        <v/>
      </c>
      <c r="D696">
        <f>IF($A696="","",'Blind Count Entry'!D694)</f>
        <v/>
      </c>
      <c r="E696">
        <f>IF($A696="","",IFERROR(INDEX('ABC Analysis'!$F:$F,MATCH($C696,'ABC Analysis'!$A:$A,0)),""))</f>
        <v/>
      </c>
      <c r="F696">
        <f>IF($A696="","",IFERROR(INDEX('Master Inventory'!$E:$E,MATCH($C696,'Master Inventory'!$A:$A,0)),0))</f>
        <v/>
      </c>
      <c r="G696">
        <f>IF($A696="","",'Blind Count Entry'!F694)</f>
        <v/>
      </c>
      <c r="H696">
        <f>IF($A696="","",G696-F696)</f>
        <v/>
      </c>
      <c r="I696" s="17">
        <f>IF($A696="","",IF(F696=0,IF(H696=0,0,1),ABS(H696)/F696))</f>
        <v/>
      </c>
      <c r="J696" s="18">
        <f>IF($A696="","",IF($E696="A",$E$1,IF($E696="B",$G$1,$I$1)))</f>
        <v/>
      </c>
      <c r="K696">
        <f>IF($A696="","",IF(H696=0,"MATCH",IF(I696&gt;J696,"RECOUNT","WITHIN TOLERANCE")))</f>
        <v/>
      </c>
      <c r="L696" s="5" t="n"/>
      <c r="M696">
        <f>IF(OR($A696="",$L696=""),"",L696-F696)</f>
        <v/>
      </c>
      <c r="N696" s="5" t="n"/>
      <c r="O696" s="5" t="n"/>
    </row>
    <row r="697">
      <c r="A697">
        <f>IF('Blind Count Entry'!A695="","",'Blind Count Entry'!A695)</f>
        <v/>
      </c>
      <c r="B697" s="16">
        <f>IF($A697="","",'Blind Count Entry'!B695)</f>
        <v/>
      </c>
      <c r="C697">
        <f>IF($A697="","",'Blind Count Entry'!C695)</f>
        <v/>
      </c>
      <c r="D697">
        <f>IF($A697="","",'Blind Count Entry'!D695)</f>
        <v/>
      </c>
      <c r="E697">
        <f>IF($A697="","",IFERROR(INDEX('ABC Analysis'!$F:$F,MATCH($C697,'ABC Analysis'!$A:$A,0)),""))</f>
        <v/>
      </c>
      <c r="F697">
        <f>IF($A697="","",IFERROR(INDEX('Master Inventory'!$E:$E,MATCH($C697,'Master Inventory'!$A:$A,0)),0))</f>
        <v/>
      </c>
      <c r="G697">
        <f>IF($A697="","",'Blind Count Entry'!F695)</f>
        <v/>
      </c>
      <c r="H697">
        <f>IF($A697="","",G697-F697)</f>
        <v/>
      </c>
      <c r="I697" s="17">
        <f>IF($A697="","",IF(F697=0,IF(H697=0,0,1),ABS(H697)/F697))</f>
        <v/>
      </c>
      <c r="J697" s="18">
        <f>IF($A697="","",IF($E697="A",$E$1,IF($E697="B",$G$1,$I$1)))</f>
        <v/>
      </c>
      <c r="K697">
        <f>IF($A697="","",IF(H697=0,"MATCH",IF(I697&gt;J697,"RECOUNT","WITHIN TOLERANCE")))</f>
        <v/>
      </c>
      <c r="L697" s="5" t="n"/>
      <c r="M697">
        <f>IF(OR($A697="",$L697=""),"",L697-F697)</f>
        <v/>
      </c>
      <c r="N697" s="5" t="n"/>
      <c r="O697" s="5" t="n"/>
    </row>
    <row r="698">
      <c r="A698">
        <f>IF('Blind Count Entry'!A696="","",'Blind Count Entry'!A696)</f>
        <v/>
      </c>
      <c r="B698" s="16">
        <f>IF($A698="","",'Blind Count Entry'!B696)</f>
        <v/>
      </c>
      <c r="C698">
        <f>IF($A698="","",'Blind Count Entry'!C696)</f>
        <v/>
      </c>
      <c r="D698">
        <f>IF($A698="","",'Blind Count Entry'!D696)</f>
        <v/>
      </c>
      <c r="E698">
        <f>IF($A698="","",IFERROR(INDEX('ABC Analysis'!$F:$F,MATCH($C698,'ABC Analysis'!$A:$A,0)),""))</f>
        <v/>
      </c>
      <c r="F698">
        <f>IF($A698="","",IFERROR(INDEX('Master Inventory'!$E:$E,MATCH($C698,'Master Inventory'!$A:$A,0)),0))</f>
        <v/>
      </c>
      <c r="G698">
        <f>IF($A698="","",'Blind Count Entry'!F696)</f>
        <v/>
      </c>
      <c r="H698">
        <f>IF($A698="","",G698-F698)</f>
        <v/>
      </c>
      <c r="I698" s="17">
        <f>IF($A698="","",IF(F698=0,IF(H698=0,0,1),ABS(H698)/F698))</f>
        <v/>
      </c>
      <c r="J698" s="18">
        <f>IF($A698="","",IF($E698="A",$E$1,IF($E698="B",$G$1,$I$1)))</f>
        <v/>
      </c>
      <c r="K698">
        <f>IF($A698="","",IF(H698=0,"MATCH",IF(I698&gt;J698,"RECOUNT","WITHIN TOLERANCE")))</f>
        <v/>
      </c>
      <c r="L698" s="5" t="n"/>
      <c r="M698">
        <f>IF(OR($A698="",$L698=""),"",L698-F698)</f>
        <v/>
      </c>
      <c r="N698" s="5" t="n"/>
      <c r="O698" s="5" t="n"/>
    </row>
    <row r="699">
      <c r="A699">
        <f>IF('Blind Count Entry'!A697="","",'Blind Count Entry'!A697)</f>
        <v/>
      </c>
      <c r="B699" s="16">
        <f>IF($A699="","",'Blind Count Entry'!B697)</f>
        <v/>
      </c>
      <c r="C699">
        <f>IF($A699="","",'Blind Count Entry'!C697)</f>
        <v/>
      </c>
      <c r="D699">
        <f>IF($A699="","",'Blind Count Entry'!D697)</f>
        <v/>
      </c>
      <c r="E699">
        <f>IF($A699="","",IFERROR(INDEX('ABC Analysis'!$F:$F,MATCH($C699,'ABC Analysis'!$A:$A,0)),""))</f>
        <v/>
      </c>
      <c r="F699">
        <f>IF($A699="","",IFERROR(INDEX('Master Inventory'!$E:$E,MATCH($C699,'Master Inventory'!$A:$A,0)),0))</f>
        <v/>
      </c>
      <c r="G699">
        <f>IF($A699="","",'Blind Count Entry'!F697)</f>
        <v/>
      </c>
      <c r="H699">
        <f>IF($A699="","",G699-F699)</f>
        <v/>
      </c>
      <c r="I699" s="17">
        <f>IF($A699="","",IF(F699=0,IF(H699=0,0,1),ABS(H699)/F699))</f>
        <v/>
      </c>
      <c r="J699" s="18">
        <f>IF($A699="","",IF($E699="A",$E$1,IF($E699="B",$G$1,$I$1)))</f>
        <v/>
      </c>
      <c r="K699">
        <f>IF($A699="","",IF(H699=0,"MATCH",IF(I699&gt;J699,"RECOUNT","WITHIN TOLERANCE")))</f>
        <v/>
      </c>
      <c r="L699" s="5" t="n"/>
      <c r="M699">
        <f>IF(OR($A699="",$L699=""),"",L699-F699)</f>
        <v/>
      </c>
      <c r="N699" s="5" t="n"/>
      <c r="O699" s="5" t="n"/>
    </row>
    <row r="700">
      <c r="A700">
        <f>IF('Blind Count Entry'!A698="","",'Blind Count Entry'!A698)</f>
        <v/>
      </c>
      <c r="B700" s="16">
        <f>IF($A700="","",'Blind Count Entry'!B698)</f>
        <v/>
      </c>
      <c r="C700">
        <f>IF($A700="","",'Blind Count Entry'!C698)</f>
        <v/>
      </c>
      <c r="D700">
        <f>IF($A700="","",'Blind Count Entry'!D698)</f>
        <v/>
      </c>
      <c r="E700">
        <f>IF($A700="","",IFERROR(INDEX('ABC Analysis'!$F:$F,MATCH($C700,'ABC Analysis'!$A:$A,0)),""))</f>
        <v/>
      </c>
      <c r="F700">
        <f>IF($A700="","",IFERROR(INDEX('Master Inventory'!$E:$E,MATCH($C700,'Master Inventory'!$A:$A,0)),0))</f>
        <v/>
      </c>
      <c r="G700">
        <f>IF($A700="","",'Blind Count Entry'!F698)</f>
        <v/>
      </c>
      <c r="H700">
        <f>IF($A700="","",G700-F700)</f>
        <v/>
      </c>
      <c r="I700" s="17">
        <f>IF($A700="","",IF(F700=0,IF(H700=0,0,1),ABS(H700)/F700))</f>
        <v/>
      </c>
      <c r="J700" s="18">
        <f>IF($A700="","",IF($E700="A",$E$1,IF($E700="B",$G$1,$I$1)))</f>
        <v/>
      </c>
      <c r="K700">
        <f>IF($A700="","",IF(H700=0,"MATCH",IF(I700&gt;J700,"RECOUNT","WITHIN TOLERANCE")))</f>
        <v/>
      </c>
      <c r="L700" s="5" t="n"/>
      <c r="M700">
        <f>IF(OR($A700="",$L700=""),"",L700-F700)</f>
        <v/>
      </c>
      <c r="N700" s="5" t="n"/>
      <c r="O700" s="5" t="n"/>
    </row>
    <row r="701">
      <c r="A701">
        <f>IF('Blind Count Entry'!A699="","",'Blind Count Entry'!A699)</f>
        <v/>
      </c>
      <c r="B701" s="16">
        <f>IF($A701="","",'Blind Count Entry'!B699)</f>
        <v/>
      </c>
      <c r="C701">
        <f>IF($A701="","",'Blind Count Entry'!C699)</f>
        <v/>
      </c>
      <c r="D701">
        <f>IF($A701="","",'Blind Count Entry'!D699)</f>
        <v/>
      </c>
      <c r="E701">
        <f>IF($A701="","",IFERROR(INDEX('ABC Analysis'!$F:$F,MATCH($C701,'ABC Analysis'!$A:$A,0)),""))</f>
        <v/>
      </c>
      <c r="F701">
        <f>IF($A701="","",IFERROR(INDEX('Master Inventory'!$E:$E,MATCH($C701,'Master Inventory'!$A:$A,0)),0))</f>
        <v/>
      </c>
      <c r="G701">
        <f>IF($A701="","",'Blind Count Entry'!F699)</f>
        <v/>
      </c>
      <c r="H701">
        <f>IF($A701="","",G701-F701)</f>
        <v/>
      </c>
      <c r="I701" s="17">
        <f>IF($A701="","",IF(F701=0,IF(H701=0,0,1),ABS(H701)/F701))</f>
        <v/>
      </c>
      <c r="J701" s="18">
        <f>IF($A701="","",IF($E701="A",$E$1,IF($E701="B",$G$1,$I$1)))</f>
        <v/>
      </c>
      <c r="K701">
        <f>IF($A701="","",IF(H701=0,"MATCH",IF(I701&gt;J701,"RECOUNT","WITHIN TOLERANCE")))</f>
        <v/>
      </c>
      <c r="L701" s="5" t="n"/>
      <c r="M701">
        <f>IF(OR($A701="",$L701=""),"",L701-F701)</f>
        <v/>
      </c>
      <c r="N701" s="5" t="n"/>
      <c r="O701" s="5" t="n"/>
    </row>
    <row r="702">
      <c r="A702">
        <f>IF('Blind Count Entry'!A700="","",'Blind Count Entry'!A700)</f>
        <v/>
      </c>
      <c r="B702" s="16">
        <f>IF($A702="","",'Blind Count Entry'!B700)</f>
        <v/>
      </c>
      <c r="C702">
        <f>IF($A702="","",'Blind Count Entry'!C700)</f>
        <v/>
      </c>
      <c r="D702">
        <f>IF($A702="","",'Blind Count Entry'!D700)</f>
        <v/>
      </c>
      <c r="E702">
        <f>IF($A702="","",IFERROR(INDEX('ABC Analysis'!$F:$F,MATCH($C702,'ABC Analysis'!$A:$A,0)),""))</f>
        <v/>
      </c>
      <c r="F702">
        <f>IF($A702="","",IFERROR(INDEX('Master Inventory'!$E:$E,MATCH($C702,'Master Inventory'!$A:$A,0)),0))</f>
        <v/>
      </c>
      <c r="G702">
        <f>IF($A702="","",'Blind Count Entry'!F700)</f>
        <v/>
      </c>
      <c r="H702">
        <f>IF($A702="","",G702-F702)</f>
        <v/>
      </c>
      <c r="I702" s="17">
        <f>IF($A702="","",IF(F702=0,IF(H702=0,0,1),ABS(H702)/F702))</f>
        <v/>
      </c>
      <c r="J702" s="18">
        <f>IF($A702="","",IF($E702="A",$E$1,IF($E702="B",$G$1,$I$1)))</f>
        <v/>
      </c>
      <c r="K702">
        <f>IF($A702="","",IF(H702=0,"MATCH",IF(I702&gt;J702,"RECOUNT","WITHIN TOLERANCE")))</f>
        <v/>
      </c>
      <c r="L702" s="5" t="n"/>
      <c r="M702">
        <f>IF(OR($A702="",$L702=""),"",L702-F702)</f>
        <v/>
      </c>
      <c r="N702" s="5" t="n"/>
      <c r="O702" s="5" t="n"/>
    </row>
    <row r="703">
      <c r="A703">
        <f>IF('Blind Count Entry'!A701="","",'Blind Count Entry'!A701)</f>
        <v/>
      </c>
      <c r="B703" s="16">
        <f>IF($A703="","",'Blind Count Entry'!B701)</f>
        <v/>
      </c>
      <c r="C703">
        <f>IF($A703="","",'Blind Count Entry'!C701)</f>
        <v/>
      </c>
      <c r="D703">
        <f>IF($A703="","",'Blind Count Entry'!D701)</f>
        <v/>
      </c>
      <c r="E703">
        <f>IF($A703="","",IFERROR(INDEX('ABC Analysis'!$F:$F,MATCH($C703,'ABC Analysis'!$A:$A,0)),""))</f>
        <v/>
      </c>
      <c r="F703">
        <f>IF($A703="","",IFERROR(INDEX('Master Inventory'!$E:$E,MATCH($C703,'Master Inventory'!$A:$A,0)),0))</f>
        <v/>
      </c>
      <c r="G703">
        <f>IF($A703="","",'Blind Count Entry'!F701)</f>
        <v/>
      </c>
      <c r="H703">
        <f>IF($A703="","",G703-F703)</f>
        <v/>
      </c>
      <c r="I703" s="17">
        <f>IF($A703="","",IF(F703=0,IF(H703=0,0,1),ABS(H703)/F703))</f>
        <v/>
      </c>
      <c r="J703" s="18">
        <f>IF($A703="","",IF($E703="A",$E$1,IF($E703="B",$G$1,$I$1)))</f>
        <v/>
      </c>
      <c r="K703">
        <f>IF($A703="","",IF(H703=0,"MATCH",IF(I703&gt;J703,"RECOUNT","WITHIN TOLERANCE")))</f>
        <v/>
      </c>
      <c r="L703" s="5" t="n"/>
      <c r="M703">
        <f>IF(OR($A703="",$L703=""),"",L703-F703)</f>
        <v/>
      </c>
      <c r="N703" s="5" t="n"/>
      <c r="O703" s="5" t="n"/>
    </row>
    <row r="704">
      <c r="A704">
        <f>IF('Blind Count Entry'!A702="","",'Blind Count Entry'!A702)</f>
        <v/>
      </c>
      <c r="B704" s="16">
        <f>IF($A704="","",'Blind Count Entry'!B702)</f>
        <v/>
      </c>
      <c r="C704">
        <f>IF($A704="","",'Blind Count Entry'!C702)</f>
        <v/>
      </c>
      <c r="D704">
        <f>IF($A704="","",'Blind Count Entry'!D702)</f>
        <v/>
      </c>
      <c r="E704">
        <f>IF($A704="","",IFERROR(INDEX('ABC Analysis'!$F:$F,MATCH($C704,'ABC Analysis'!$A:$A,0)),""))</f>
        <v/>
      </c>
      <c r="F704">
        <f>IF($A704="","",IFERROR(INDEX('Master Inventory'!$E:$E,MATCH($C704,'Master Inventory'!$A:$A,0)),0))</f>
        <v/>
      </c>
      <c r="G704">
        <f>IF($A704="","",'Blind Count Entry'!F702)</f>
        <v/>
      </c>
      <c r="H704">
        <f>IF($A704="","",G704-F704)</f>
        <v/>
      </c>
      <c r="I704" s="17">
        <f>IF($A704="","",IF(F704=0,IF(H704=0,0,1),ABS(H704)/F704))</f>
        <v/>
      </c>
      <c r="J704" s="18">
        <f>IF($A704="","",IF($E704="A",$E$1,IF($E704="B",$G$1,$I$1)))</f>
        <v/>
      </c>
      <c r="K704">
        <f>IF($A704="","",IF(H704=0,"MATCH",IF(I704&gt;J704,"RECOUNT","WITHIN TOLERANCE")))</f>
        <v/>
      </c>
      <c r="L704" s="5" t="n"/>
      <c r="M704">
        <f>IF(OR($A704="",$L704=""),"",L704-F704)</f>
        <v/>
      </c>
      <c r="N704" s="5" t="n"/>
      <c r="O704" s="5" t="n"/>
    </row>
    <row r="705">
      <c r="A705">
        <f>IF('Blind Count Entry'!A703="","",'Blind Count Entry'!A703)</f>
        <v/>
      </c>
      <c r="B705" s="16">
        <f>IF($A705="","",'Blind Count Entry'!B703)</f>
        <v/>
      </c>
      <c r="C705">
        <f>IF($A705="","",'Blind Count Entry'!C703)</f>
        <v/>
      </c>
      <c r="D705">
        <f>IF($A705="","",'Blind Count Entry'!D703)</f>
        <v/>
      </c>
      <c r="E705">
        <f>IF($A705="","",IFERROR(INDEX('ABC Analysis'!$F:$F,MATCH($C705,'ABC Analysis'!$A:$A,0)),""))</f>
        <v/>
      </c>
      <c r="F705">
        <f>IF($A705="","",IFERROR(INDEX('Master Inventory'!$E:$E,MATCH($C705,'Master Inventory'!$A:$A,0)),0))</f>
        <v/>
      </c>
      <c r="G705">
        <f>IF($A705="","",'Blind Count Entry'!F703)</f>
        <v/>
      </c>
      <c r="H705">
        <f>IF($A705="","",G705-F705)</f>
        <v/>
      </c>
      <c r="I705" s="17">
        <f>IF($A705="","",IF(F705=0,IF(H705=0,0,1),ABS(H705)/F705))</f>
        <v/>
      </c>
      <c r="J705" s="18">
        <f>IF($A705="","",IF($E705="A",$E$1,IF($E705="B",$G$1,$I$1)))</f>
        <v/>
      </c>
      <c r="K705">
        <f>IF($A705="","",IF(H705=0,"MATCH",IF(I705&gt;J705,"RECOUNT","WITHIN TOLERANCE")))</f>
        <v/>
      </c>
      <c r="L705" s="5" t="n"/>
      <c r="M705">
        <f>IF(OR($A705="",$L705=""),"",L705-F705)</f>
        <v/>
      </c>
      <c r="N705" s="5" t="n"/>
      <c r="O705" s="5" t="n"/>
    </row>
    <row r="706">
      <c r="A706">
        <f>IF('Blind Count Entry'!A704="","",'Blind Count Entry'!A704)</f>
        <v/>
      </c>
      <c r="B706" s="16">
        <f>IF($A706="","",'Blind Count Entry'!B704)</f>
        <v/>
      </c>
      <c r="C706">
        <f>IF($A706="","",'Blind Count Entry'!C704)</f>
        <v/>
      </c>
      <c r="D706">
        <f>IF($A706="","",'Blind Count Entry'!D704)</f>
        <v/>
      </c>
      <c r="E706">
        <f>IF($A706="","",IFERROR(INDEX('ABC Analysis'!$F:$F,MATCH($C706,'ABC Analysis'!$A:$A,0)),""))</f>
        <v/>
      </c>
      <c r="F706">
        <f>IF($A706="","",IFERROR(INDEX('Master Inventory'!$E:$E,MATCH($C706,'Master Inventory'!$A:$A,0)),0))</f>
        <v/>
      </c>
      <c r="G706">
        <f>IF($A706="","",'Blind Count Entry'!F704)</f>
        <v/>
      </c>
      <c r="H706">
        <f>IF($A706="","",G706-F706)</f>
        <v/>
      </c>
      <c r="I706" s="17">
        <f>IF($A706="","",IF(F706=0,IF(H706=0,0,1),ABS(H706)/F706))</f>
        <v/>
      </c>
      <c r="J706" s="18">
        <f>IF($A706="","",IF($E706="A",$E$1,IF($E706="B",$G$1,$I$1)))</f>
        <v/>
      </c>
      <c r="K706">
        <f>IF($A706="","",IF(H706=0,"MATCH",IF(I706&gt;J706,"RECOUNT","WITHIN TOLERANCE")))</f>
        <v/>
      </c>
      <c r="L706" s="5" t="n"/>
      <c r="M706">
        <f>IF(OR($A706="",$L706=""),"",L706-F706)</f>
        <v/>
      </c>
      <c r="N706" s="5" t="n"/>
      <c r="O706" s="5" t="n"/>
    </row>
    <row r="707">
      <c r="A707">
        <f>IF('Blind Count Entry'!A705="","",'Blind Count Entry'!A705)</f>
        <v/>
      </c>
      <c r="B707" s="16">
        <f>IF($A707="","",'Blind Count Entry'!B705)</f>
        <v/>
      </c>
      <c r="C707">
        <f>IF($A707="","",'Blind Count Entry'!C705)</f>
        <v/>
      </c>
      <c r="D707">
        <f>IF($A707="","",'Blind Count Entry'!D705)</f>
        <v/>
      </c>
      <c r="E707">
        <f>IF($A707="","",IFERROR(INDEX('ABC Analysis'!$F:$F,MATCH($C707,'ABC Analysis'!$A:$A,0)),""))</f>
        <v/>
      </c>
      <c r="F707">
        <f>IF($A707="","",IFERROR(INDEX('Master Inventory'!$E:$E,MATCH($C707,'Master Inventory'!$A:$A,0)),0))</f>
        <v/>
      </c>
      <c r="G707">
        <f>IF($A707="","",'Blind Count Entry'!F705)</f>
        <v/>
      </c>
      <c r="H707">
        <f>IF($A707="","",G707-F707)</f>
        <v/>
      </c>
      <c r="I707" s="17">
        <f>IF($A707="","",IF(F707=0,IF(H707=0,0,1),ABS(H707)/F707))</f>
        <v/>
      </c>
      <c r="J707" s="18">
        <f>IF($A707="","",IF($E707="A",$E$1,IF($E707="B",$G$1,$I$1)))</f>
        <v/>
      </c>
      <c r="K707">
        <f>IF($A707="","",IF(H707=0,"MATCH",IF(I707&gt;J707,"RECOUNT","WITHIN TOLERANCE")))</f>
        <v/>
      </c>
      <c r="L707" s="5" t="n"/>
      <c r="M707">
        <f>IF(OR($A707="",$L707=""),"",L707-F707)</f>
        <v/>
      </c>
      <c r="N707" s="5" t="n"/>
      <c r="O707" s="5" t="n"/>
    </row>
    <row r="708">
      <c r="A708">
        <f>IF('Blind Count Entry'!A706="","",'Blind Count Entry'!A706)</f>
        <v/>
      </c>
      <c r="B708" s="16">
        <f>IF($A708="","",'Blind Count Entry'!B706)</f>
        <v/>
      </c>
      <c r="C708">
        <f>IF($A708="","",'Blind Count Entry'!C706)</f>
        <v/>
      </c>
      <c r="D708">
        <f>IF($A708="","",'Blind Count Entry'!D706)</f>
        <v/>
      </c>
      <c r="E708">
        <f>IF($A708="","",IFERROR(INDEX('ABC Analysis'!$F:$F,MATCH($C708,'ABC Analysis'!$A:$A,0)),""))</f>
        <v/>
      </c>
      <c r="F708">
        <f>IF($A708="","",IFERROR(INDEX('Master Inventory'!$E:$E,MATCH($C708,'Master Inventory'!$A:$A,0)),0))</f>
        <v/>
      </c>
      <c r="G708">
        <f>IF($A708="","",'Blind Count Entry'!F706)</f>
        <v/>
      </c>
      <c r="H708">
        <f>IF($A708="","",G708-F708)</f>
        <v/>
      </c>
      <c r="I708" s="17">
        <f>IF($A708="","",IF(F708=0,IF(H708=0,0,1),ABS(H708)/F708))</f>
        <v/>
      </c>
      <c r="J708" s="18">
        <f>IF($A708="","",IF($E708="A",$E$1,IF($E708="B",$G$1,$I$1)))</f>
        <v/>
      </c>
      <c r="K708">
        <f>IF($A708="","",IF(H708=0,"MATCH",IF(I708&gt;J708,"RECOUNT","WITHIN TOLERANCE")))</f>
        <v/>
      </c>
      <c r="L708" s="5" t="n"/>
      <c r="M708">
        <f>IF(OR($A708="",$L708=""),"",L708-F708)</f>
        <v/>
      </c>
      <c r="N708" s="5" t="n"/>
      <c r="O708" s="5" t="n"/>
    </row>
    <row r="709">
      <c r="A709">
        <f>IF('Blind Count Entry'!A707="","",'Blind Count Entry'!A707)</f>
        <v/>
      </c>
      <c r="B709" s="16">
        <f>IF($A709="","",'Blind Count Entry'!B707)</f>
        <v/>
      </c>
      <c r="C709">
        <f>IF($A709="","",'Blind Count Entry'!C707)</f>
        <v/>
      </c>
      <c r="D709">
        <f>IF($A709="","",'Blind Count Entry'!D707)</f>
        <v/>
      </c>
      <c r="E709">
        <f>IF($A709="","",IFERROR(INDEX('ABC Analysis'!$F:$F,MATCH($C709,'ABC Analysis'!$A:$A,0)),""))</f>
        <v/>
      </c>
      <c r="F709">
        <f>IF($A709="","",IFERROR(INDEX('Master Inventory'!$E:$E,MATCH($C709,'Master Inventory'!$A:$A,0)),0))</f>
        <v/>
      </c>
      <c r="G709">
        <f>IF($A709="","",'Blind Count Entry'!F707)</f>
        <v/>
      </c>
      <c r="H709">
        <f>IF($A709="","",G709-F709)</f>
        <v/>
      </c>
      <c r="I709" s="17">
        <f>IF($A709="","",IF(F709=0,IF(H709=0,0,1),ABS(H709)/F709))</f>
        <v/>
      </c>
      <c r="J709" s="18">
        <f>IF($A709="","",IF($E709="A",$E$1,IF($E709="B",$G$1,$I$1)))</f>
        <v/>
      </c>
      <c r="K709">
        <f>IF($A709="","",IF(H709=0,"MATCH",IF(I709&gt;J709,"RECOUNT","WITHIN TOLERANCE")))</f>
        <v/>
      </c>
      <c r="L709" s="5" t="n"/>
      <c r="M709">
        <f>IF(OR($A709="",$L709=""),"",L709-F709)</f>
        <v/>
      </c>
      <c r="N709" s="5" t="n"/>
      <c r="O709" s="5" t="n"/>
    </row>
    <row r="710">
      <c r="A710">
        <f>IF('Blind Count Entry'!A708="","",'Blind Count Entry'!A708)</f>
        <v/>
      </c>
      <c r="B710" s="16">
        <f>IF($A710="","",'Blind Count Entry'!B708)</f>
        <v/>
      </c>
      <c r="C710">
        <f>IF($A710="","",'Blind Count Entry'!C708)</f>
        <v/>
      </c>
      <c r="D710">
        <f>IF($A710="","",'Blind Count Entry'!D708)</f>
        <v/>
      </c>
      <c r="E710">
        <f>IF($A710="","",IFERROR(INDEX('ABC Analysis'!$F:$F,MATCH($C710,'ABC Analysis'!$A:$A,0)),""))</f>
        <v/>
      </c>
      <c r="F710">
        <f>IF($A710="","",IFERROR(INDEX('Master Inventory'!$E:$E,MATCH($C710,'Master Inventory'!$A:$A,0)),0))</f>
        <v/>
      </c>
      <c r="G710">
        <f>IF($A710="","",'Blind Count Entry'!F708)</f>
        <v/>
      </c>
      <c r="H710">
        <f>IF($A710="","",G710-F710)</f>
        <v/>
      </c>
      <c r="I710" s="17">
        <f>IF($A710="","",IF(F710=0,IF(H710=0,0,1),ABS(H710)/F710))</f>
        <v/>
      </c>
      <c r="J710" s="18">
        <f>IF($A710="","",IF($E710="A",$E$1,IF($E710="B",$G$1,$I$1)))</f>
        <v/>
      </c>
      <c r="K710">
        <f>IF($A710="","",IF(H710=0,"MATCH",IF(I710&gt;J710,"RECOUNT","WITHIN TOLERANCE")))</f>
        <v/>
      </c>
      <c r="L710" s="5" t="n"/>
      <c r="M710">
        <f>IF(OR($A710="",$L710=""),"",L710-F710)</f>
        <v/>
      </c>
      <c r="N710" s="5" t="n"/>
      <c r="O710" s="5" t="n"/>
    </row>
    <row r="711">
      <c r="A711">
        <f>IF('Blind Count Entry'!A709="","",'Blind Count Entry'!A709)</f>
        <v/>
      </c>
      <c r="B711" s="16">
        <f>IF($A711="","",'Blind Count Entry'!B709)</f>
        <v/>
      </c>
      <c r="C711">
        <f>IF($A711="","",'Blind Count Entry'!C709)</f>
        <v/>
      </c>
      <c r="D711">
        <f>IF($A711="","",'Blind Count Entry'!D709)</f>
        <v/>
      </c>
      <c r="E711">
        <f>IF($A711="","",IFERROR(INDEX('ABC Analysis'!$F:$F,MATCH($C711,'ABC Analysis'!$A:$A,0)),""))</f>
        <v/>
      </c>
      <c r="F711">
        <f>IF($A711="","",IFERROR(INDEX('Master Inventory'!$E:$E,MATCH($C711,'Master Inventory'!$A:$A,0)),0))</f>
        <v/>
      </c>
      <c r="G711">
        <f>IF($A711="","",'Blind Count Entry'!F709)</f>
        <v/>
      </c>
      <c r="H711">
        <f>IF($A711="","",G711-F711)</f>
        <v/>
      </c>
      <c r="I711" s="17">
        <f>IF($A711="","",IF(F711=0,IF(H711=0,0,1),ABS(H711)/F711))</f>
        <v/>
      </c>
      <c r="J711" s="18">
        <f>IF($A711="","",IF($E711="A",$E$1,IF($E711="B",$G$1,$I$1)))</f>
        <v/>
      </c>
      <c r="K711">
        <f>IF($A711="","",IF(H711=0,"MATCH",IF(I711&gt;J711,"RECOUNT","WITHIN TOLERANCE")))</f>
        <v/>
      </c>
      <c r="L711" s="5" t="n"/>
      <c r="M711">
        <f>IF(OR($A711="",$L711=""),"",L711-F711)</f>
        <v/>
      </c>
      <c r="N711" s="5" t="n"/>
      <c r="O711" s="5" t="n"/>
    </row>
    <row r="712">
      <c r="A712">
        <f>IF('Blind Count Entry'!A710="","",'Blind Count Entry'!A710)</f>
        <v/>
      </c>
      <c r="B712" s="16">
        <f>IF($A712="","",'Blind Count Entry'!B710)</f>
        <v/>
      </c>
      <c r="C712">
        <f>IF($A712="","",'Blind Count Entry'!C710)</f>
        <v/>
      </c>
      <c r="D712">
        <f>IF($A712="","",'Blind Count Entry'!D710)</f>
        <v/>
      </c>
      <c r="E712">
        <f>IF($A712="","",IFERROR(INDEX('ABC Analysis'!$F:$F,MATCH($C712,'ABC Analysis'!$A:$A,0)),""))</f>
        <v/>
      </c>
      <c r="F712">
        <f>IF($A712="","",IFERROR(INDEX('Master Inventory'!$E:$E,MATCH($C712,'Master Inventory'!$A:$A,0)),0))</f>
        <v/>
      </c>
      <c r="G712">
        <f>IF($A712="","",'Blind Count Entry'!F710)</f>
        <v/>
      </c>
      <c r="H712">
        <f>IF($A712="","",G712-F712)</f>
        <v/>
      </c>
      <c r="I712" s="17">
        <f>IF($A712="","",IF(F712=0,IF(H712=0,0,1),ABS(H712)/F712))</f>
        <v/>
      </c>
      <c r="J712" s="18">
        <f>IF($A712="","",IF($E712="A",$E$1,IF($E712="B",$G$1,$I$1)))</f>
        <v/>
      </c>
      <c r="K712">
        <f>IF($A712="","",IF(H712=0,"MATCH",IF(I712&gt;J712,"RECOUNT","WITHIN TOLERANCE")))</f>
        <v/>
      </c>
      <c r="L712" s="5" t="n"/>
      <c r="M712">
        <f>IF(OR($A712="",$L712=""),"",L712-F712)</f>
        <v/>
      </c>
      <c r="N712" s="5" t="n"/>
      <c r="O712" s="5" t="n"/>
    </row>
    <row r="713">
      <c r="A713">
        <f>IF('Blind Count Entry'!A711="","",'Blind Count Entry'!A711)</f>
        <v/>
      </c>
      <c r="B713" s="16">
        <f>IF($A713="","",'Blind Count Entry'!B711)</f>
        <v/>
      </c>
      <c r="C713">
        <f>IF($A713="","",'Blind Count Entry'!C711)</f>
        <v/>
      </c>
      <c r="D713">
        <f>IF($A713="","",'Blind Count Entry'!D711)</f>
        <v/>
      </c>
      <c r="E713">
        <f>IF($A713="","",IFERROR(INDEX('ABC Analysis'!$F:$F,MATCH($C713,'ABC Analysis'!$A:$A,0)),""))</f>
        <v/>
      </c>
      <c r="F713">
        <f>IF($A713="","",IFERROR(INDEX('Master Inventory'!$E:$E,MATCH($C713,'Master Inventory'!$A:$A,0)),0))</f>
        <v/>
      </c>
      <c r="G713">
        <f>IF($A713="","",'Blind Count Entry'!F711)</f>
        <v/>
      </c>
      <c r="H713">
        <f>IF($A713="","",G713-F713)</f>
        <v/>
      </c>
      <c r="I713" s="17">
        <f>IF($A713="","",IF(F713=0,IF(H713=0,0,1),ABS(H713)/F713))</f>
        <v/>
      </c>
      <c r="J713" s="18">
        <f>IF($A713="","",IF($E713="A",$E$1,IF($E713="B",$G$1,$I$1)))</f>
        <v/>
      </c>
      <c r="K713">
        <f>IF($A713="","",IF(H713=0,"MATCH",IF(I713&gt;J713,"RECOUNT","WITHIN TOLERANCE")))</f>
        <v/>
      </c>
      <c r="L713" s="5" t="n"/>
      <c r="M713">
        <f>IF(OR($A713="",$L713=""),"",L713-F713)</f>
        <v/>
      </c>
      <c r="N713" s="5" t="n"/>
      <c r="O713" s="5" t="n"/>
    </row>
    <row r="714">
      <c r="A714">
        <f>IF('Blind Count Entry'!A712="","",'Blind Count Entry'!A712)</f>
        <v/>
      </c>
      <c r="B714" s="16">
        <f>IF($A714="","",'Blind Count Entry'!B712)</f>
        <v/>
      </c>
      <c r="C714">
        <f>IF($A714="","",'Blind Count Entry'!C712)</f>
        <v/>
      </c>
      <c r="D714">
        <f>IF($A714="","",'Blind Count Entry'!D712)</f>
        <v/>
      </c>
      <c r="E714">
        <f>IF($A714="","",IFERROR(INDEX('ABC Analysis'!$F:$F,MATCH($C714,'ABC Analysis'!$A:$A,0)),""))</f>
        <v/>
      </c>
      <c r="F714">
        <f>IF($A714="","",IFERROR(INDEX('Master Inventory'!$E:$E,MATCH($C714,'Master Inventory'!$A:$A,0)),0))</f>
        <v/>
      </c>
      <c r="G714">
        <f>IF($A714="","",'Blind Count Entry'!F712)</f>
        <v/>
      </c>
      <c r="H714">
        <f>IF($A714="","",G714-F714)</f>
        <v/>
      </c>
      <c r="I714" s="17">
        <f>IF($A714="","",IF(F714=0,IF(H714=0,0,1),ABS(H714)/F714))</f>
        <v/>
      </c>
      <c r="J714" s="18">
        <f>IF($A714="","",IF($E714="A",$E$1,IF($E714="B",$G$1,$I$1)))</f>
        <v/>
      </c>
      <c r="K714">
        <f>IF($A714="","",IF(H714=0,"MATCH",IF(I714&gt;J714,"RECOUNT","WITHIN TOLERANCE")))</f>
        <v/>
      </c>
      <c r="L714" s="5" t="n"/>
      <c r="M714">
        <f>IF(OR($A714="",$L714=""),"",L714-F714)</f>
        <v/>
      </c>
      <c r="N714" s="5" t="n"/>
      <c r="O714" s="5" t="n"/>
    </row>
    <row r="715">
      <c r="A715">
        <f>IF('Blind Count Entry'!A713="","",'Blind Count Entry'!A713)</f>
        <v/>
      </c>
      <c r="B715" s="16">
        <f>IF($A715="","",'Blind Count Entry'!B713)</f>
        <v/>
      </c>
      <c r="C715">
        <f>IF($A715="","",'Blind Count Entry'!C713)</f>
        <v/>
      </c>
      <c r="D715">
        <f>IF($A715="","",'Blind Count Entry'!D713)</f>
        <v/>
      </c>
      <c r="E715">
        <f>IF($A715="","",IFERROR(INDEX('ABC Analysis'!$F:$F,MATCH($C715,'ABC Analysis'!$A:$A,0)),""))</f>
        <v/>
      </c>
      <c r="F715">
        <f>IF($A715="","",IFERROR(INDEX('Master Inventory'!$E:$E,MATCH($C715,'Master Inventory'!$A:$A,0)),0))</f>
        <v/>
      </c>
      <c r="G715">
        <f>IF($A715="","",'Blind Count Entry'!F713)</f>
        <v/>
      </c>
      <c r="H715">
        <f>IF($A715="","",G715-F715)</f>
        <v/>
      </c>
      <c r="I715" s="17">
        <f>IF($A715="","",IF(F715=0,IF(H715=0,0,1),ABS(H715)/F715))</f>
        <v/>
      </c>
      <c r="J715" s="18">
        <f>IF($A715="","",IF($E715="A",$E$1,IF($E715="B",$G$1,$I$1)))</f>
        <v/>
      </c>
      <c r="K715">
        <f>IF($A715="","",IF(H715=0,"MATCH",IF(I715&gt;J715,"RECOUNT","WITHIN TOLERANCE")))</f>
        <v/>
      </c>
      <c r="L715" s="5" t="n"/>
      <c r="M715">
        <f>IF(OR($A715="",$L715=""),"",L715-F715)</f>
        <v/>
      </c>
      <c r="N715" s="5" t="n"/>
      <c r="O715" s="5" t="n"/>
    </row>
    <row r="716">
      <c r="A716">
        <f>IF('Blind Count Entry'!A714="","",'Blind Count Entry'!A714)</f>
        <v/>
      </c>
      <c r="B716" s="16">
        <f>IF($A716="","",'Blind Count Entry'!B714)</f>
        <v/>
      </c>
      <c r="C716">
        <f>IF($A716="","",'Blind Count Entry'!C714)</f>
        <v/>
      </c>
      <c r="D716">
        <f>IF($A716="","",'Blind Count Entry'!D714)</f>
        <v/>
      </c>
      <c r="E716">
        <f>IF($A716="","",IFERROR(INDEX('ABC Analysis'!$F:$F,MATCH($C716,'ABC Analysis'!$A:$A,0)),""))</f>
        <v/>
      </c>
      <c r="F716">
        <f>IF($A716="","",IFERROR(INDEX('Master Inventory'!$E:$E,MATCH($C716,'Master Inventory'!$A:$A,0)),0))</f>
        <v/>
      </c>
      <c r="G716">
        <f>IF($A716="","",'Blind Count Entry'!F714)</f>
        <v/>
      </c>
      <c r="H716">
        <f>IF($A716="","",G716-F716)</f>
        <v/>
      </c>
      <c r="I716" s="17">
        <f>IF($A716="","",IF(F716=0,IF(H716=0,0,1),ABS(H716)/F716))</f>
        <v/>
      </c>
      <c r="J716" s="18">
        <f>IF($A716="","",IF($E716="A",$E$1,IF($E716="B",$G$1,$I$1)))</f>
        <v/>
      </c>
      <c r="K716">
        <f>IF($A716="","",IF(H716=0,"MATCH",IF(I716&gt;J716,"RECOUNT","WITHIN TOLERANCE")))</f>
        <v/>
      </c>
      <c r="L716" s="5" t="n"/>
      <c r="M716">
        <f>IF(OR($A716="",$L716=""),"",L716-F716)</f>
        <v/>
      </c>
      <c r="N716" s="5" t="n"/>
      <c r="O716" s="5" t="n"/>
    </row>
    <row r="717">
      <c r="A717">
        <f>IF('Blind Count Entry'!A715="","",'Blind Count Entry'!A715)</f>
        <v/>
      </c>
      <c r="B717" s="16">
        <f>IF($A717="","",'Blind Count Entry'!B715)</f>
        <v/>
      </c>
      <c r="C717">
        <f>IF($A717="","",'Blind Count Entry'!C715)</f>
        <v/>
      </c>
      <c r="D717">
        <f>IF($A717="","",'Blind Count Entry'!D715)</f>
        <v/>
      </c>
      <c r="E717">
        <f>IF($A717="","",IFERROR(INDEX('ABC Analysis'!$F:$F,MATCH($C717,'ABC Analysis'!$A:$A,0)),""))</f>
        <v/>
      </c>
      <c r="F717">
        <f>IF($A717="","",IFERROR(INDEX('Master Inventory'!$E:$E,MATCH($C717,'Master Inventory'!$A:$A,0)),0))</f>
        <v/>
      </c>
      <c r="G717">
        <f>IF($A717="","",'Blind Count Entry'!F715)</f>
        <v/>
      </c>
      <c r="H717">
        <f>IF($A717="","",G717-F717)</f>
        <v/>
      </c>
      <c r="I717" s="17">
        <f>IF($A717="","",IF(F717=0,IF(H717=0,0,1),ABS(H717)/F717))</f>
        <v/>
      </c>
      <c r="J717" s="18">
        <f>IF($A717="","",IF($E717="A",$E$1,IF($E717="B",$G$1,$I$1)))</f>
        <v/>
      </c>
      <c r="K717">
        <f>IF($A717="","",IF(H717=0,"MATCH",IF(I717&gt;J717,"RECOUNT","WITHIN TOLERANCE")))</f>
        <v/>
      </c>
      <c r="L717" s="5" t="n"/>
      <c r="M717">
        <f>IF(OR($A717="",$L717=""),"",L717-F717)</f>
        <v/>
      </c>
      <c r="N717" s="5" t="n"/>
      <c r="O717" s="5" t="n"/>
    </row>
    <row r="718">
      <c r="A718">
        <f>IF('Blind Count Entry'!A716="","",'Blind Count Entry'!A716)</f>
        <v/>
      </c>
      <c r="B718" s="16">
        <f>IF($A718="","",'Blind Count Entry'!B716)</f>
        <v/>
      </c>
      <c r="C718">
        <f>IF($A718="","",'Blind Count Entry'!C716)</f>
        <v/>
      </c>
      <c r="D718">
        <f>IF($A718="","",'Blind Count Entry'!D716)</f>
        <v/>
      </c>
      <c r="E718">
        <f>IF($A718="","",IFERROR(INDEX('ABC Analysis'!$F:$F,MATCH($C718,'ABC Analysis'!$A:$A,0)),""))</f>
        <v/>
      </c>
      <c r="F718">
        <f>IF($A718="","",IFERROR(INDEX('Master Inventory'!$E:$E,MATCH($C718,'Master Inventory'!$A:$A,0)),0))</f>
        <v/>
      </c>
      <c r="G718">
        <f>IF($A718="","",'Blind Count Entry'!F716)</f>
        <v/>
      </c>
      <c r="H718">
        <f>IF($A718="","",G718-F718)</f>
        <v/>
      </c>
      <c r="I718" s="17">
        <f>IF($A718="","",IF(F718=0,IF(H718=0,0,1),ABS(H718)/F718))</f>
        <v/>
      </c>
      <c r="J718" s="18">
        <f>IF($A718="","",IF($E718="A",$E$1,IF($E718="B",$G$1,$I$1)))</f>
        <v/>
      </c>
      <c r="K718">
        <f>IF($A718="","",IF(H718=0,"MATCH",IF(I718&gt;J718,"RECOUNT","WITHIN TOLERANCE")))</f>
        <v/>
      </c>
      <c r="L718" s="5" t="n"/>
      <c r="M718">
        <f>IF(OR($A718="",$L718=""),"",L718-F718)</f>
        <v/>
      </c>
      <c r="N718" s="5" t="n"/>
      <c r="O718" s="5" t="n"/>
    </row>
    <row r="719">
      <c r="A719">
        <f>IF('Blind Count Entry'!A717="","",'Blind Count Entry'!A717)</f>
        <v/>
      </c>
      <c r="B719" s="16">
        <f>IF($A719="","",'Blind Count Entry'!B717)</f>
        <v/>
      </c>
      <c r="C719">
        <f>IF($A719="","",'Blind Count Entry'!C717)</f>
        <v/>
      </c>
      <c r="D719">
        <f>IF($A719="","",'Blind Count Entry'!D717)</f>
        <v/>
      </c>
      <c r="E719">
        <f>IF($A719="","",IFERROR(INDEX('ABC Analysis'!$F:$F,MATCH($C719,'ABC Analysis'!$A:$A,0)),""))</f>
        <v/>
      </c>
      <c r="F719">
        <f>IF($A719="","",IFERROR(INDEX('Master Inventory'!$E:$E,MATCH($C719,'Master Inventory'!$A:$A,0)),0))</f>
        <v/>
      </c>
      <c r="G719">
        <f>IF($A719="","",'Blind Count Entry'!F717)</f>
        <v/>
      </c>
      <c r="H719">
        <f>IF($A719="","",G719-F719)</f>
        <v/>
      </c>
      <c r="I719" s="17">
        <f>IF($A719="","",IF(F719=0,IF(H719=0,0,1),ABS(H719)/F719))</f>
        <v/>
      </c>
      <c r="J719" s="18">
        <f>IF($A719="","",IF($E719="A",$E$1,IF($E719="B",$G$1,$I$1)))</f>
        <v/>
      </c>
      <c r="K719">
        <f>IF($A719="","",IF(H719=0,"MATCH",IF(I719&gt;J719,"RECOUNT","WITHIN TOLERANCE")))</f>
        <v/>
      </c>
      <c r="L719" s="5" t="n"/>
      <c r="M719">
        <f>IF(OR($A719="",$L719=""),"",L719-F719)</f>
        <v/>
      </c>
      <c r="N719" s="5" t="n"/>
      <c r="O719" s="5" t="n"/>
    </row>
    <row r="720">
      <c r="A720">
        <f>IF('Blind Count Entry'!A718="","",'Blind Count Entry'!A718)</f>
        <v/>
      </c>
      <c r="B720" s="16">
        <f>IF($A720="","",'Blind Count Entry'!B718)</f>
        <v/>
      </c>
      <c r="C720">
        <f>IF($A720="","",'Blind Count Entry'!C718)</f>
        <v/>
      </c>
      <c r="D720">
        <f>IF($A720="","",'Blind Count Entry'!D718)</f>
        <v/>
      </c>
      <c r="E720">
        <f>IF($A720="","",IFERROR(INDEX('ABC Analysis'!$F:$F,MATCH($C720,'ABC Analysis'!$A:$A,0)),""))</f>
        <v/>
      </c>
      <c r="F720">
        <f>IF($A720="","",IFERROR(INDEX('Master Inventory'!$E:$E,MATCH($C720,'Master Inventory'!$A:$A,0)),0))</f>
        <v/>
      </c>
      <c r="G720">
        <f>IF($A720="","",'Blind Count Entry'!F718)</f>
        <v/>
      </c>
      <c r="H720">
        <f>IF($A720="","",G720-F720)</f>
        <v/>
      </c>
      <c r="I720" s="17">
        <f>IF($A720="","",IF(F720=0,IF(H720=0,0,1),ABS(H720)/F720))</f>
        <v/>
      </c>
      <c r="J720" s="18">
        <f>IF($A720="","",IF($E720="A",$E$1,IF($E720="B",$G$1,$I$1)))</f>
        <v/>
      </c>
      <c r="K720">
        <f>IF($A720="","",IF(H720=0,"MATCH",IF(I720&gt;J720,"RECOUNT","WITHIN TOLERANCE")))</f>
        <v/>
      </c>
      <c r="L720" s="5" t="n"/>
      <c r="M720">
        <f>IF(OR($A720="",$L720=""),"",L720-F720)</f>
        <v/>
      </c>
      <c r="N720" s="5" t="n"/>
      <c r="O720" s="5" t="n"/>
    </row>
    <row r="721">
      <c r="A721">
        <f>IF('Blind Count Entry'!A719="","",'Blind Count Entry'!A719)</f>
        <v/>
      </c>
      <c r="B721" s="16">
        <f>IF($A721="","",'Blind Count Entry'!B719)</f>
        <v/>
      </c>
      <c r="C721">
        <f>IF($A721="","",'Blind Count Entry'!C719)</f>
        <v/>
      </c>
      <c r="D721">
        <f>IF($A721="","",'Blind Count Entry'!D719)</f>
        <v/>
      </c>
      <c r="E721">
        <f>IF($A721="","",IFERROR(INDEX('ABC Analysis'!$F:$F,MATCH($C721,'ABC Analysis'!$A:$A,0)),""))</f>
        <v/>
      </c>
      <c r="F721">
        <f>IF($A721="","",IFERROR(INDEX('Master Inventory'!$E:$E,MATCH($C721,'Master Inventory'!$A:$A,0)),0))</f>
        <v/>
      </c>
      <c r="G721">
        <f>IF($A721="","",'Blind Count Entry'!F719)</f>
        <v/>
      </c>
      <c r="H721">
        <f>IF($A721="","",G721-F721)</f>
        <v/>
      </c>
      <c r="I721" s="17">
        <f>IF($A721="","",IF(F721=0,IF(H721=0,0,1),ABS(H721)/F721))</f>
        <v/>
      </c>
      <c r="J721" s="18">
        <f>IF($A721="","",IF($E721="A",$E$1,IF($E721="B",$G$1,$I$1)))</f>
        <v/>
      </c>
      <c r="K721">
        <f>IF($A721="","",IF(H721=0,"MATCH",IF(I721&gt;J721,"RECOUNT","WITHIN TOLERANCE")))</f>
        <v/>
      </c>
      <c r="L721" s="5" t="n"/>
      <c r="M721">
        <f>IF(OR($A721="",$L721=""),"",L721-F721)</f>
        <v/>
      </c>
      <c r="N721" s="5" t="n"/>
      <c r="O721" s="5" t="n"/>
    </row>
    <row r="722">
      <c r="A722">
        <f>IF('Blind Count Entry'!A720="","",'Blind Count Entry'!A720)</f>
        <v/>
      </c>
      <c r="B722" s="16">
        <f>IF($A722="","",'Blind Count Entry'!B720)</f>
        <v/>
      </c>
      <c r="C722">
        <f>IF($A722="","",'Blind Count Entry'!C720)</f>
        <v/>
      </c>
      <c r="D722">
        <f>IF($A722="","",'Blind Count Entry'!D720)</f>
        <v/>
      </c>
      <c r="E722">
        <f>IF($A722="","",IFERROR(INDEX('ABC Analysis'!$F:$F,MATCH($C722,'ABC Analysis'!$A:$A,0)),""))</f>
        <v/>
      </c>
      <c r="F722">
        <f>IF($A722="","",IFERROR(INDEX('Master Inventory'!$E:$E,MATCH($C722,'Master Inventory'!$A:$A,0)),0))</f>
        <v/>
      </c>
      <c r="G722">
        <f>IF($A722="","",'Blind Count Entry'!F720)</f>
        <v/>
      </c>
      <c r="H722">
        <f>IF($A722="","",G722-F722)</f>
        <v/>
      </c>
      <c r="I722" s="17">
        <f>IF($A722="","",IF(F722=0,IF(H722=0,0,1),ABS(H722)/F722))</f>
        <v/>
      </c>
      <c r="J722" s="18">
        <f>IF($A722="","",IF($E722="A",$E$1,IF($E722="B",$G$1,$I$1)))</f>
        <v/>
      </c>
      <c r="K722">
        <f>IF($A722="","",IF(H722=0,"MATCH",IF(I722&gt;J722,"RECOUNT","WITHIN TOLERANCE")))</f>
        <v/>
      </c>
      <c r="L722" s="5" t="n"/>
      <c r="M722">
        <f>IF(OR($A722="",$L722=""),"",L722-F722)</f>
        <v/>
      </c>
      <c r="N722" s="5" t="n"/>
      <c r="O722" s="5" t="n"/>
    </row>
    <row r="723">
      <c r="A723">
        <f>IF('Blind Count Entry'!A721="","",'Blind Count Entry'!A721)</f>
        <v/>
      </c>
      <c r="B723" s="16">
        <f>IF($A723="","",'Blind Count Entry'!B721)</f>
        <v/>
      </c>
      <c r="C723">
        <f>IF($A723="","",'Blind Count Entry'!C721)</f>
        <v/>
      </c>
      <c r="D723">
        <f>IF($A723="","",'Blind Count Entry'!D721)</f>
        <v/>
      </c>
      <c r="E723">
        <f>IF($A723="","",IFERROR(INDEX('ABC Analysis'!$F:$F,MATCH($C723,'ABC Analysis'!$A:$A,0)),""))</f>
        <v/>
      </c>
      <c r="F723">
        <f>IF($A723="","",IFERROR(INDEX('Master Inventory'!$E:$E,MATCH($C723,'Master Inventory'!$A:$A,0)),0))</f>
        <v/>
      </c>
      <c r="G723">
        <f>IF($A723="","",'Blind Count Entry'!F721)</f>
        <v/>
      </c>
      <c r="H723">
        <f>IF($A723="","",G723-F723)</f>
        <v/>
      </c>
      <c r="I723" s="17">
        <f>IF($A723="","",IF(F723=0,IF(H723=0,0,1),ABS(H723)/F723))</f>
        <v/>
      </c>
      <c r="J723" s="18">
        <f>IF($A723="","",IF($E723="A",$E$1,IF($E723="B",$G$1,$I$1)))</f>
        <v/>
      </c>
      <c r="K723">
        <f>IF($A723="","",IF(H723=0,"MATCH",IF(I723&gt;J723,"RECOUNT","WITHIN TOLERANCE")))</f>
        <v/>
      </c>
      <c r="L723" s="5" t="n"/>
      <c r="M723">
        <f>IF(OR($A723="",$L723=""),"",L723-F723)</f>
        <v/>
      </c>
      <c r="N723" s="5" t="n"/>
      <c r="O723" s="5" t="n"/>
    </row>
    <row r="724">
      <c r="A724">
        <f>IF('Blind Count Entry'!A722="","",'Blind Count Entry'!A722)</f>
        <v/>
      </c>
      <c r="B724" s="16">
        <f>IF($A724="","",'Blind Count Entry'!B722)</f>
        <v/>
      </c>
      <c r="C724">
        <f>IF($A724="","",'Blind Count Entry'!C722)</f>
        <v/>
      </c>
      <c r="D724">
        <f>IF($A724="","",'Blind Count Entry'!D722)</f>
        <v/>
      </c>
      <c r="E724">
        <f>IF($A724="","",IFERROR(INDEX('ABC Analysis'!$F:$F,MATCH($C724,'ABC Analysis'!$A:$A,0)),""))</f>
        <v/>
      </c>
      <c r="F724">
        <f>IF($A724="","",IFERROR(INDEX('Master Inventory'!$E:$E,MATCH($C724,'Master Inventory'!$A:$A,0)),0))</f>
        <v/>
      </c>
      <c r="G724">
        <f>IF($A724="","",'Blind Count Entry'!F722)</f>
        <v/>
      </c>
      <c r="H724">
        <f>IF($A724="","",G724-F724)</f>
        <v/>
      </c>
      <c r="I724" s="17">
        <f>IF($A724="","",IF(F724=0,IF(H724=0,0,1),ABS(H724)/F724))</f>
        <v/>
      </c>
      <c r="J724" s="18">
        <f>IF($A724="","",IF($E724="A",$E$1,IF($E724="B",$G$1,$I$1)))</f>
        <v/>
      </c>
      <c r="K724">
        <f>IF($A724="","",IF(H724=0,"MATCH",IF(I724&gt;J724,"RECOUNT","WITHIN TOLERANCE")))</f>
        <v/>
      </c>
      <c r="L724" s="5" t="n"/>
      <c r="M724">
        <f>IF(OR($A724="",$L724=""),"",L724-F724)</f>
        <v/>
      </c>
      <c r="N724" s="5" t="n"/>
      <c r="O724" s="5" t="n"/>
    </row>
    <row r="725">
      <c r="A725">
        <f>IF('Blind Count Entry'!A723="","",'Blind Count Entry'!A723)</f>
        <v/>
      </c>
      <c r="B725" s="16">
        <f>IF($A725="","",'Blind Count Entry'!B723)</f>
        <v/>
      </c>
      <c r="C725">
        <f>IF($A725="","",'Blind Count Entry'!C723)</f>
        <v/>
      </c>
      <c r="D725">
        <f>IF($A725="","",'Blind Count Entry'!D723)</f>
        <v/>
      </c>
      <c r="E725">
        <f>IF($A725="","",IFERROR(INDEX('ABC Analysis'!$F:$F,MATCH($C725,'ABC Analysis'!$A:$A,0)),""))</f>
        <v/>
      </c>
      <c r="F725">
        <f>IF($A725="","",IFERROR(INDEX('Master Inventory'!$E:$E,MATCH($C725,'Master Inventory'!$A:$A,0)),0))</f>
        <v/>
      </c>
      <c r="G725">
        <f>IF($A725="","",'Blind Count Entry'!F723)</f>
        <v/>
      </c>
      <c r="H725">
        <f>IF($A725="","",G725-F725)</f>
        <v/>
      </c>
      <c r="I725" s="17">
        <f>IF($A725="","",IF(F725=0,IF(H725=0,0,1),ABS(H725)/F725))</f>
        <v/>
      </c>
      <c r="J725" s="18">
        <f>IF($A725="","",IF($E725="A",$E$1,IF($E725="B",$G$1,$I$1)))</f>
        <v/>
      </c>
      <c r="K725">
        <f>IF($A725="","",IF(H725=0,"MATCH",IF(I725&gt;J725,"RECOUNT","WITHIN TOLERANCE")))</f>
        <v/>
      </c>
      <c r="L725" s="5" t="n"/>
      <c r="M725">
        <f>IF(OR($A725="",$L725=""),"",L725-F725)</f>
        <v/>
      </c>
      <c r="N725" s="5" t="n"/>
      <c r="O725" s="5" t="n"/>
    </row>
    <row r="726">
      <c r="A726">
        <f>IF('Blind Count Entry'!A724="","",'Blind Count Entry'!A724)</f>
        <v/>
      </c>
      <c r="B726" s="16">
        <f>IF($A726="","",'Blind Count Entry'!B724)</f>
        <v/>
      </c>
      <c r="C726">
        <f>IF($A726="","",'Blind Count Entry'!C724)</f>
        <v/>
      </c>
      <c r="D726">
        <f>IF($A726="","",'Blind Count Entry'!D724)</f>
        <v/>
      </c>
      <c r="E726">
        <f>IF($A726="","",IFERROR(INDEX('ABC Analysis'!$F:$F,MATCH($C726,'ABC Analysis'!$A:$A,0)),""))</f>
        <v/>
      </c>
      <c r="F726">
        <f>IF($A726="","",IFERROR(INDEX('Master Inventory'!$E:$E,MATCH($C726,'Master Inventory'!$A:$A,0)),0))</f>
        <v/>
      </c>
      <c r="G726">
        <f>IF($A726="","",'Blind Count Entry'!F724)</f>
        <v/>
      </c>
      <c r="H726">
        <f>IF($A726="","",G726-F726)</f>
        <v/>
      </c>
      <c r="I726" s="17">
        <f>IF($A726="","",IF(F726=0,IF(H726=0,0,1),ABS(H726)/F726))</f>
        <v/>
      </c>
      <c r="J726" s="18">
        <f>IF($A726="","",IF($E726="A",$E$1,IF($E726="B",$G$1,$I$1)))</f>
        <v/>
      </c>
      <c r="K726">
        <f>IF($A726="","",IF(H726=0,"MATCH",IF(I726&gt;J726,"RECOUNT","WITHIN TOLERANCE")))</f>
        <v/>
      </c>
      <c r="L726" s="5" t="n"/>
      <c r="M726">
        <f>IF(OR($A726="",$L726=""),"",L726-F726)</f>
        <v/>
      </c>
      <c r="N726" s="5" t="n"/>
      <c r="O726" s="5" t="n"/>
    </row>
    <row r="727">
      <c r="A727">
        <f>IF('Blind Count Entry'!A725="","",'Blind Count Entry'!A725)</f>
        <v/>
      </c>
      <c r="B727" s="16">
        <f>IF($A727="","",'Blind Count Entry'!B725)</f>
        <v/>
      </c>
      <c r="C727">
        <f>IF($A727="","",'Blind Count Entry'!C725)</f>
        <v/>
      </c>
      <c r="D727">
        <f>IF($A727="","",'Blind Count Entry'!D725)</f>
        <v/>
      </c>
      <c r="E727">
        <f>IF($A727="","",IFERROR(INDEX('ABC Analysis'!$F:$F,MATCH($C727,'ABC Analysis'!$A:$A,0)),""))</f>
        <v/>
      </c>
      <c r="F727">
        <f>IF($A727="","",IFERROR(INDEX('Master Inventory'!$E:$E,MATCH($C727,'Master Inventory'!$A:$A,0)),0))</f>
        <v/>
      </c>
      <c r="G727">
        <f>IF($A727="","",'Blind Count Entry'!F725)</f>
        <v/>
      </c>
      <c r="H727">
        <f>IF($A727="","",G727-F727)</f>
        <v/>
      </c>
      <c r="I727" s="17">
        <f>IF($A727="","",IF(F727=0,IF(H727=0,0,1),ABS(H727)/F727))</f>
        <v/>
      </c>
      <c r="J727" s="18">
        <f>IF($A727="","",IF($E727="A",$E$1,IF($E727="B",$G$1,$I$1)))</f>
        <v/>
      </c>
      <c r="K727">
        <f>IF($A727="","",IF(H727=0,"MATCH",IF(I727&gt;J727,"RECOUNT","WITHIN TOLERANCE")))</f>
        <v/>
      </c>
      <c r="L727" s="5" t="n"/>
      <c r="M727">
        <f>IF(OR($A727="",$L727=""),"",L727-F727)</f>
        <v/>
      </c>
      <c r="N727" s="5" t="n"/>
      <c r="O727" s="5" t="n"/>
    </row>
    <row r="728">
      <c r="A728">
        <f>IF('Blind Count Entry'!A726="","",'Blind Count Entry'!A726)</f>
        <v/>
      </c>
      <c r="B728" s="16">
        <f>IF($A728="","",'Blind Count Entry'!B726)</f>
        <v/>
      </c>
      <c r="C728">
        <f>IF($A728="","",'Blind Count Entry'!C726)</f>
        <v/>
      </c>
      <c r="D728">
        <f>IF($A728="","",'Blind Count Entry'!D726)</f>
        <v/>
      </c>
      <c r="E728">
        <f>IF($A728="","",IFERROR(INDEX('ABC Analysis'!$F:$F,MATCH($C728,'ABC Analysis'!$A:$A,0)),""))</f>
        <v/>
      </c>
      <c r="F728">
        <f>IF($A728="","",IFERROR(INDEX('Master Inventory'!$E:$E,MATCH($C728,'Master Inventory'!$A:$A,0)),0))</f>
        <v/>
      </c>
      <c r="G728">
        <f>IF($A728="","",'Blind Count Entry'!F726)</f>
        <v/>
      </c>
      <c r="H728">
        <f>IF($A728="","",G728-F728)</f>
        <v/>
      </c>
      <c r="I728" s="17">
        <f>IF($A728="","",IF(F728=0,IF(H728=0,0,1),ABS(H728)/F728))</f>
        <v/>
      </c>
      <c r="J728" s="18">
        <f>IF($A728="","",IF($E728="A",$E$1,IF($E728="B",$G$1,$I$1)))</f>
        <v/>
      </c>
      <c r="K728">
        <f>IF($A728="","",IF(H728=0,"MATCH",IF(I728&gt;J728,"RECOUNT","WITHIN TOLERANCE")))</f>
        <v/>
      </c>
      <c r="L728" s="5" t="n"/>
      <c r="M728">
        <f>IF(OR($A728="",$L728=""),"",L728-F728)</f>
        <v/>
      </c>
      <c r="N728" s="5" t="n"/>
      <c r="O728" s="5" t="n"/>
    </row>
    <row r="729">
      <c r="A729">
        <f>IF('Blind Count Entry'!A727="","",'Blind Count Entry'!A727)</f>
        <v/>
      </c>
      <c r="B729" s="16">
        <f>IF($A729="","",'Blind Count Entry'!B727)</f>
        <v/>
      </c>
      <c r="C729">
        <f>IF($A729="","",'Blind Count Entry'!C727)</f>
        <v/>
      </c>
      <c r="D729">
        <f>IF($A729="","",'Blind Count Entry'!D727)</f>
        <v/>
      </c>
      <c r="E729">
        <f>IF($A729="","",IFERROR(INDEX('ABC Analysis'!$F:$F,MATCH($C729,'ABC Analysis'!$A:$A,0)),""))</f>
        <v/>
      </c>
      <c r="F729">
        <f>IF($A729="","",IFERROR(INDEX('Master Inventory'!$E:$E,MATCH($C729,'Master Inventory'!$A:$A,0)),0))</f>
        <v/>
      </c>
      <c r="G729">
        <f>IF($A729="","",'Blind Count Entry'!F727)</f>
        <v/>
      </c>
      <c r="H729">
        <f>IF($A729="","",G729-F729)</f>
        <v/>
      </c>
      <c r="I729" s="17">
        <f>IF($A729="","",IF(F729=0,IF(H729=0,0,1),ABS(H729)/F729))</f>
        <v/>
      </c>
      <c r="J729" s="18">
        <f>IF($A729="","",IF($E729="A",$E$1,IF($E729="B",$G$1,$I$1)))</f>
        <v/>
      </c>
      <c r="K729">
        <f>IF($A729="","",IF(H729=0,"MATCH",IF(I729&gt;J729,"RECOUNT","WITHIN TOLERANCE")))</f>
        <v/>
      </c>
      <c r="L729" s="5" t="n"/>
      <c r="M729">
        <f>IF(OR($A729="",$L729=""),"",L729-F729)</f>
        <v/>
      </c>
      <c r="N729" s="5" t="n"/>
      <c r="O729" s="5" t="n"/>
    </row>
    <row r="730">
      <c r="A730">
        <f>IF('Blind Count Entry'!A728="","",'Blind Count Entry'!A728)</f>
        <v/>
      </c>
      <c r="B730" s="16">
        <f>IF($A730="","",'Blind Count Entry'!B728)</f>
        <v/>
      </c>
      <c r="C730">
        <f>IF($A730="","",'Blind Count Entry'!C728)</f>
        <v/>
      </c>
      <c r="D730">
        <f>IF($A730="","",'Blind Count Entry'!D728)</f>
        <v/>
      </c>
      <c r="E730">
        <f>IF($A730="","",IFERROR(INDEX('ABC Analysis'!$F:$F,MATCH($C730,'ABC Analysis'!$A:$A,0)),""))</f>
        <v/>
      </c>
      <c r="F730">
        <f>IF($A730="","",IFERROR(INDEX('Master Inventory'!$E:$E,MATCH($C730,'Master Inventory'!$A:$A,0)),0))</f>
        <v/>
      </c>
      <c r="G730">
        <f>IF($A730="","",'Blind Count Entry'!F728)</f>
        <v/>
      </c>
      <c r="H730">
        <f>IF($A730="","",G730-F730)</f>
        <v/>
      </c>
      <c r="I730" s="17">
        <f>IF($A730="","",IF(F730=0,IF(H730=0,0,1),ABS(H730)/F730))</f>
        <v/>
      </c>
      <c r="J730" s="18">
        <f>IF($A730="","",IF($E730="A",$E$1,IF($E730="B",$G$1,$I$1)))</f>
        <v/>
      </c>
      <c r="K730">
        <f>IF($A730="","",IF(H730=0,"MATCH",IF(I730&gt;J730,"RECOUNT","WITHIN TOLERANCE")))</f>
        <v/>
      </c>
      <c r="L730" s="5" t="n"/>
      <c r="M730">
        <f>IF(OR($A730="",$L730=""),"",L730-F730)</f>
        <v/>
      </c>
      <c r="N730" s="5" t="n"/>
      <c r="O730" s="5" t="n"/>
    </row>
    <row r="731">
      <c r="A731">
        <f>IF('Blind Count Entry'!A729="","",'Blind Count Entry'!A729)</f>
        <v/>
      </c>
      <c r="B731" s="16">
        <f>IF($A731="","",'Blind Count Entry'!B729)</f>
        <v/>
      </c>
      <c r="C731">
        <f>IF($A731="","",'Blind Count Entry'!C729)</f>
        <v/>
      </c>
      <c r="D731">
        <f>IF($A731="","",'Blind Count Entry'!D729)</f>
        <v/>
      </c>
      <c r="E731">
        <f>IF($A731="","",IFERROR(INDEX('ABC Analysis'!$F:$F,MATCH($C731,'ABC Analysis'!$A:$A,0)),""))</f>
        <v/>
      </c>
      <c r="F731">
        <f>IF($A731="","",IFERROR(INDEX('Master Inventory'!$E:$E,MATCH($C731,'Master Inventory'!$A:$A,0)),0))</f>
        <v/>
      </c>
      <c r="G731">
        <f>IF($A731="","",'Blind Count Entry'!F729)</f>
        <v/>
      </c>
      <c r="H731">
        <f>IF($A731="","",G731-F731)</f>
        <v/>
      </c>
      <c r="I731" s="17">
        <f>IF($A731="","",IF(F731=0,IF(H731=0,0,1),ABS(H731)/F731))</f>
        <v/>
      </c>
      <c r="J731" s="18">
        <f>IF($A731="","",IF($E731="A",$E$1,IF($E731="B",$G$1,$I$1)))</f>
        <v/>
      </c>
      <c r="K731">
        <f>IF($A731="","",IF(H731=0,"MATCH",IF(I731&gt;J731,"RECOUNT","WITHIN TOLERANCE")))</f>
        <v/>
      </c>
      <c r="L731" s="5" t="n"/>
      <c r="M731">
        <f>IF(OR($A731="",$L731=""),"",L731-F731)</f>
        <v/>
      </c>
      <c r="N731" s="5" t="n"/>
      <c r="O731" s="5" t="n"/>
    </row>
    <row r="732">
      <c r="A732">
        <f>IF('Blind Count Entry'!A730="","",'Blind Count Entry'!A730)</f>
        <v/>
      </c>
      <c r="B732" s="16">
        <f>IF($A732="","",'Blind Count Entry'!B730)</f>
        <v/>
      </c>
      <c r="C732">
        <f>IF($A732="","",'Blind Count Entry'!C730)</f>
        <v/>
      </c>
      <c r="D732">
        <f>IF($A732="","",'Blind Count Entry'!D730)</f>
        <v/>
      </c>
      <c r="E732">
        <f>IF($A732="","",IFERROR(INDEX('ABC Analysis'!$F:$F,MATCH($C732,'ABC Analysis'!$A:$A,0)),""))</f>
        <v/>
      </c>
      <c r="F732">
        <f>IF($A732="","",IFERROR(INDEX('Master Inventory'!$E:$E,MATCH($C732,'Master Inventory'!$A:$A,0)),0))</f>
        <v/>
      </c>
      <c r="G732">
        <f>IF($A732="","",'Blind Count Entry'!F730)</f>
        <v/>
      </c>
      <c r="H732">
        <f>IF($A732="","",G732-F732)</f>
        <v/>
      </c>
      <c r="I732" s="17">
        <f>IF($A732="","",IF(F732=0,IF(H732=0,0,1),ABS(H732)/F732))</f>
        <v/>
      </c>
      <c r="J732" s="18">
        <f>IF($A732="","",IF($E732="A",$E$1,IF($E732="B",$G$1,$I$1)))</f>
        <v/>
      </c>
      <c r="K732">
        <f>IF($A732="","",IF(H732=0,"MATCH",IF(I732&gt;J732,"RECOUNT","WITHIN TOLERANCE")))</f>
        <v/>
      </c>
      <c r="L732" s="5" t="n"/>
      <c r="M732">
        <f>IF(OR($A732="",$L732=""),"",L732-F732)</f>
        <v/>
      </c>
      <c r="N732" s="5" t="n"/>
      <c r="O732" s="5" t="n"/>
    </row>
    <row r="733">
      <c r="A733">
        <f>IF('Blind Count Entry'!A731="","",'Blind Count Entry'!A731)</f>
        <v/>
      </c>
      <c r="B733" s="16">
        <f>IF($A733="","",'Blind Count Entry'!B731)</f>
        <v/>
      </c>
      <c r="C733">
        <f>IF($A733="","",'Blind Count Entry'!C731)</f>
        <v/>
      </c>
      <c r="D733">
        <f>IF($A733="","",'Blind Count Entry'!D731)</f>
        <v/>
      </c>
      <c r="E733">
        <f>IF($A733="","",IFERROR(INDEX('ABC Analysis'!$F:$F,MATCH($C733,'ABC Analysis'!$A:$A,0)),""))</f>
        <v/>
      </c>
      <c r="F733">
        <f>IF($A733="","",IFERROR(INDEX('Master Inventory'!$E:$E,MATCH($C733,'Master Inventory'!$A:$A,0)),0))</f>
        <v/>
      </c>
      <c r="G733">
        <f>IF($A733="","",'Blind Count Entry'!F731)</f>
        <v/>
      </c>
      <c r="H733">
        <f>IF($A733="","",G733-F733)</f>
        <v/>
      </c>
      <c r="I733" s="17">
        <f>IF($A733="","",IF(F733=0,IF(H733=0,0,1),ABS(H733)/F733))</f>
        <v/>
      </c>
      <c r="J733" s="18">
        <f>IF($A733="","",IF($E733="A",$E$1,IF($E733="B",$G$1,$I$1)))</f>
        <v/>
      </c>
      <c r="K733">
        <f>IF($A733="","",IF(H733=0,"MATCH",IF(I733&gt;J733,"RECOUNT","WITHIN TOLERANCE")))</f>
        <v/>
      </c>
      <c r="L733" s="5" t="n"/>
      <c r="M733">
        <f>IF(OR($A733="",$L733=""),"",L733-F733)</f>
        <v/>
      </c>
      <c r="N733" s="5" t="n"/>
      <c r="O733" s="5" t="n"/>
    </row>
    <row r="734">
      <c r="A734">
        <f>IF('Blind Count Entry'!A732="","",'Blind Count Entry'!A732)</f>
        <v/>
      </c>
      <c r="B734" s="16">
        <f>IF($A734="","",'Blind Count Entry'!B732)</f>
        <v/>
      </c>
      <c r="C734">
        <f>IF($A734="","",'Blind Count Entry'!C732)</f>
        <v/>
      </c>
      <c r="D734">
        <f>IF($A734="","",'Blind Count Entry'!D732)</f>
        <v/>
      </c>
      <c r="E734">
        <f>IF($A734="","",IFERROR(INDEX('ABC Analysis'!$F:$F,MATCH($C734,'ABC Analysis'!$A:$A,0)),""))</f>
        <v/>
      </c>
      <c r="F734">
        <f>IF($A734="","",IFERROR(INDEX('Master Inventory'!$E:$E,MATCH($C734,'Master Inventory'!$A:$A,0)),0))</f>
        <v/>
      </c>
      <c r="G734">
        <f>IF($A734="","",'Blind Count Entry'!F732)</f>
        <v/>
      </c>
      <c r="H734">
        <f>IF($A734="","",G734-F734)</f>
        <v/>
      </c>
      <c r="I734" s="17">
        <f>IF($A734="","",IF(F734=0,IF(H734=0,0,1),ABS(H734)/F734))</f>
        <v/>
      </c>
      <c r="J734" s="18">
        <f>IF($A734="","",IF($E734="A",$E$1,IF($E734="B",$G$1,$I$1)))</f>
        <v/>
      </c>
      <c r="K734">
        <f>IF($A734="","",IF(H734=0,"MATCH",IF(I734&gt;J734,"RECOUNT","WITHIN TOLERANCE")))</f>
        <v/>
      </c>
      <c r="L734" s="5" t="n"/>
      <c r="M734">
        <f>IF(OR($A734="",$L734=""),"",L734-F734)</f>
        <v/>
      </c>
      <c r="N734" s="5" t="n"/>
      <c r="O734" s="5" t="n"/>
    </row>
    <row r="735">
      <c r="A735">
        <f>IF('Blind Count Entry'!A733="","",'Blind Count Entry'!A733)</f>
        <v/>
      </c>
      <c r="B735" s="16">
        <f>IF($A735="","",'Blind Count Entry'!B733)</f>
        <v/>
      </c>
      <c r="C735">
        <f>IF($A735="","",'Blind Count Entry'!C733)</f>
        <v/>
      </c>
      <c r="D735">
        <f>IF($A735="","",'Blind Count Entry'!D733)</f>
        <v/>
      </c>
      <c r="E735">
        <f>IF($A735="","",IFERROR(INDEX('ABC Analysis'!$F:$F,MATCH($C735,'ABC Analysis'!$A:$A,0)),""))</f>
        <v/>
      </c>
      <c r="F735">
        <f>IF($A735="","",IFERROR(INDEX('Master Inventory'!$E:$E,MATCH($C735,'Master Inventory'!$A:$A,0)),0))</f>
        <v/>
      </c>
      <c r="G735">
        <f>IF($A735="","",'Blind Count Entry'!F733)</f>
        <v/>
      </c>
      <c r="H735">
        <f>IF($A735="","",G735-F735)</f>
        <v/>
      </c>
      <c r="I735" s="17">
        <f>IF($A735="","",IF(F735=0,IF(H735=0,0,1),ABS(H735)/F735))</f>
        <v/>
      </c>
      <c r="J735" s="18">
        <f>IF($A735="","",IF($E735="A",$E$1,IF($E735="B",$G$1,$I$1)))</f>
        <v/>
      </c>
      <c r="K735">
        <f>IF($A735="","",IF(H735=0,"MATCH",IF(I735&gt;J735,"RECOUNT","WITHIN TOLERANCE")))</f>
        <v/>
      </c>
      <c r="L735" s="5" t="n"/>
      <c r="M735">
        <f>IF(OR($A735="",$L735=""),"",L735-F735)</f>
        <v/>
      </c>
      <c r="N735" s="5" t="n"/>
      <c r="O735" s="5" t="n"/>
    </row>
    <row r="736">
      <c r="A736">
        <f>IF('Blind Count Entry'!A734="","",'Blind Count Entry'!A734)</f>
        <v/>
      </c>
      <c r="B736" s="16">
        <f>IF($A736="","",'Blind Count Entry'!B734)</f>
        <v/>
      </c>
      <c r="C736">
        <f>IF($A736="","",'Blind Count Entry'!C734)</f>
        <v/>
      </c>
      <c r="D736">
        <f>IF($A736="","",'Blind Count Entry'!D734)</f>
        <v/>
      </c>
      <c r="E736">
        <f>IF($A736="","",IFERROR(INDEX('ABC Analysis'!$F:$F,MATCH($C736,'ABC Analysis'!$A:$A,0)),""))</f>
        <v/>
      </c>
      <c r="F736">
        <f>IF($A736="","",IFERROR(INDEX('Master Inventory'!$E:$E,MATCH($C736,'Master Inventory'!$A:$A,0)),0))</f>
        <v/>
      </c>
      <c r="G736">
        <f>IF($A736="","",'Blind Count Entry'!F734)</f>
        <v/>
      </c>
      <c r="H736">
        <f>IF($A736="","",G736-F736)</f>
        <v/>
      </c>
      <c r="I736" s="17">
        <f>IF($A736="","",IF(F736=0,IF(H736=0,0,1),ABS(H736)/F736))</f>
        <v/>
      </c>
      <c r="J736" s="18">
        <f>IF($A736="","",IF($E736="A",$E$1,IF($E736="B",$G$1,$I$1)))</f>
        <v/>
      </c>
      <c r="K736">
        <f>IF($A736="","",IF(H736=0,"MATCH",IF(I736&gt;J736,"RECOUNT","WITHIN TOLERANCE")))</f>
        <v/>
      </c>
      <c r="L736" s="5" t="n"/>
      <c r="M736">
        <f>IF(OR($A736="",$L736=""),"",L736-F736)</f>
        <v/>
      </c>
      <c r="N736" s="5" t="n"/>
      <c r="O736" s="5" t="n"/>
    </row>
    <row r="737">
      <c r="A737">
        <f>IF('Blind Count Entry'!A735="","",'Blind Count Entry'!A735)</f>
        <v/>
      </c>
      <c r="B737" s="16">
        <f>IF($A737="","",'Blind Count Entry'!B735)</f>
        <v/>
      </c>
      <c r="C737">
        <f>IF($A737="","",'Blind Count Entry'!C735)</f>
        <v/>
      </c>
      <c r="D737">
        <f>IF($A737="","",'Blind Count Entry'!D735)</f>
        <v/>
      </c>
      <c r="E737">
        <f>IF($A737="","",IFERROR(INDEX('ABC Analysis'!$F:$F,MATCH($C737,'ABC Analysis'!$A:$A,0)),""))</f>
        <v/>
      </c>
      <c r="F737">
        <f>IF($A737="","",IFERROR(INDEX('Master Inventory'!$E:$E,MATCH($C737,'Master Inventory'!$A:$A,0)),0))</f>
        <v/>
      </c>
      <c r="G737">
        <f>IF($A737="","",'Blind Count Entry'!F735)</f>
        <v/>
      </c>
      <c r="H737">
        <f>IF($A737="","",G737-F737)</f>
        <v/>
      </c>
      <c r="I737" s="17">
        <f>IF($A737="","",IF(F737=0,IF(H737=0,0,1),ABS(H737)/F737))</f>
        <v/>
      </c>
      <c r="J737" s="18">
        <f>IF($A737="","",IF($E737="A",$E$1,IF($E737="B",$G$1,$I$1)))</f>
        <v/>
      </c>
      <c r="K737">
        <f>IF($A737="","",IF(H737=0,"MATCH",IF(I737&gt;J737,"RECOUNT","WITHIN TOLERANCE")))</f>
        <v/>
      </c>
      <c r="L737" s="5" t="n"/>
      <c r="M737">
        <f>IF(OR($A737="",$L737=""),"",L737-F737)</f>
        <v/>
      </c>
      <c r="N737" s="5" t="n"/>
      <c r="O737" s="5" t="n"/>
    </row>
    <row r="738">
      <c r="A738">
        <f>IF('Blind Count Entry'!A736="","",'Blind Count Entry'!A736)</f>
        <v/>
      </c>
      <c r="B738" s="16">
        <f>IF($A738="","",'Blind Count Entry'!B736)</f>
        <v/>
      </c>
      <c r="C738">
        <f>IF($A738="","",'Blind Count Entry'!C736)</f>
        <v/>
      </c>
      <c r="D738">
        <f>IF($A738="","",'Blind Count Entry'!D736)</f>
        <v/>
      </c>
      <c r="E738">
        <f>IF($A738="","",IFERROR(INDEX('ABC Analysis'!$F:$F,MATCH($C738,'ABC Analysis'!$A:$A,0)),""))</f>
        <v/>
      </c>
      <c r="F738">
        <f>IF($A738="","",IFERROR(INDEX('Master Inventory'!$E:$E,MATCH($C738,'Master Inventory'!$A:$A,0)),0))</f>
        <v/>
      </c>
      <c r="G738">
        <f>IF($A738="","",'Blind Count Entry'!F736)</f>
        <v/>
      </c>
      <c r="H738">
        <f>IF($A738="","",G738-F738)</f>
        <v/>
      </c>
      <c r="I738" s="17">
        <f>IF($A738="","",IF(F738=0,IF(H738=0,0,1),ABS(H738)/F738))</f>
        <v/>
      </c>
      <c r="J738" s="18">
        <f>IF($A738="","",IF($E738="A",$E$1,IF($E738="B",$G$1,$I$1)))</f>
        <v/>
      </c>
      <c r="K738">
        <f>IF($A738="","",IF(H738=0,"MATCH",IF(I738&gt;J738,"RECOUNT","WITHIN TOLERANCE")))</f>
        <v/>
      </c>
      <c r="L738" s="5" t="n"/>
      <c r="M738">
        <f>IF(OR($A738="",$L738=""),"",L738-F738)</f>
        <v/>
      </c>
      <c r="N738" s="5" t="n"/>
      <c r="O738" s="5" t="n"/>
    </row>
    <row r="739">
      <c r="A739">
        <f>IF('Blind Count Entry'!A737="","",'Blind Count Entry'!A737)</f>
        <v/>
      </c>
      <c r="B739" s="16">
        <f>IF($A739="","",'Blind Count Entry'!B737)</f>
        <v/>
      </c>
      <c r="C739">
        <f>IF($A739="","",'Blind Count Entry'!C737)</f>
        <v/>
      </c>
      <c r="D739">
        <f>IF($A739="","",'Blind Count Entry'!D737)</f>
        <v/>
      </c>
      <c r="E739">
        <f>IF($A739="","",IFERROR(INDEX('ABC Analysis'!$F:$F,MATCH($C739,'ABC Analysis'!$A:$A,0)),""))</f>
        <v/>
      </c>
      <c r="F739">
        <f>IF($A739="","",IFERROR(INDEX('Master Inventory'!$E:$E,MATCH($C739,'Master Inventory'!$A:$A,0)),0))</f>
        <v/>
      </c>
      <c r="G739">
        <f>IF($A739="","",'Blind Count Entry'!F737)</f>
        <v/>
      </c>
      <c r="H739">
        <f>IF($A739="","",G739-F739)</f>
        <v/>
      </c>
      <c r="I739" s="17">
        <f>IF($A739="","",IF(F739=0,IF(H739=0,0,1),ABS(H739)/F739))</f>
        <v/>
      </c>
      <c r="J739" s="18">
        <f>IF($A739="","",IF($E739="A",$E$1,IF($E739="B",$G$1,$I$1)))</f>
        <v/>
      </c>
      <c r="K739">
        <f>IF($A739="","",IF(H739=0,"MATCH",IF(I739&gt;J739,"RECOUNT","WITHIN TOLERANCE")))</f>
        <v/>
      </c>
      <c r="L739" s="5" t="n"/>
      <c r="M739">
        <f>IF(OR($A739="",$L739=""),"",L739-F739)</f>
        <v/>
      </c>
      <c r="N739" s="5" t="n"/>
      <c r="O739" s="5" t="n"/>
    </row>
    <row r="740">
      <c r="A740">
        <f>IF('Blind Count Entry'!A738="","",'Blind Count Entry'!A738)</f>
        <v/>
      </c>
      <c r="B740" s="16">
        <f>IF($A740="","",'Blind Count Entry'!B738)</f>
        <v/>
      </c>
      <c r="C740">
        <f>IF($A740="","",'Blind Count Entry'!C738)</f>
        <v/>
      </c>
      <c r="D740">
        <f>IF($A740="","",'Blind Count Entry'!D738)</f>
        <v/>
      </c>
      <c r="E740">
        <f>IF($A740="","",IFERROR(INDEX('ABC Analysis'!$F:$F,MATCH($C740,'ABC Analysis'!$A:$A,0)),""))</f>
        <v/>
      </c>
      <c r="F740">
        <f>IF($A740="","",IFERROR(INDEX('Master Inventory'!$E:$E,MATCH($C740,'Master Inventory'!$A:$A,0)),0))</f>
        <v/>
      </c>
      <c r="G740">
        <f>IF($A740="","",'Blind Count Entry'!F738)</f>
        <v/>
      </c>
      <c r="H740">
        <f>IF($A740="","",G740-F740)</f>
        <v/>
      </c>
      <c r="I740" s="17">
        <f>IF($A740="","",IF(F740=0,IF(H740=0,0,1),ABS(H740)/F740))</f>
        <v/>
      </c>
      <c r="J740" s="18">
        <f>IF($A740="","",IF($E740="A",$E$1,IF($E740="B",$G$1,$I$1)))</f>
        <v/>
      </c>
      <c r="K740">
        <f>IF($A740="","",IF(H740=0,"MATCH",IF(I740&gt;J740,"RECOUNT","WITHIN TOLERANCE")))</f>
        <v/>
      </c>
      <c r="L740" s="5" t="n"/>
      <c r="M740">
        <f>IF(OR($A740="",$L740=""),"",L740-F740)</f>
        <v/>
      </c>
      <c r="N740" s="5" t="n"/>
      <c r="O740" s="5" t="n"/>
    </row>
    <row r="741">
      <c r="A741">
        <f>IF('Blind Count Entry'!A739="","",'Blind Count Entry'!A739)</f>
        <v/>
      </c>
      <c r="B741" s="16">
        <f>IF($A741="","",'Blind Count Entry'!B739)</f>
        <v/>
      </c>
      <c r="C741">
        <f>IF($A741="","",'Blind Count Entry'!C739)</f>
        <v/>
      </c>
      <c r="D741">
        <f>IF($A741="","",'Blind Count Entry'!D739)</f>
        <v/>
      </c>
      <c r="E741">
        <f>IF($A741="","",IFERROR(INDEX('ABC Analysis'!$F:$F,MATCH($C741,'ABC Analysis'!$A:$A,0)),""))</f>
        <v/>
      </c>
      <c r="F741">
        <f>IF($A741="","",IFERROR(INDEX('Master Inventory'!$E:$E,MATCH($C741,'Master Inventory'!$A:$A,0)),0))</f>
        <v/>
      </c>
      <c r="G741">
        <f>IF($A741="","",'Blind Count Entry'!F739)</f>
        <v/>
      </c>
      <c r="H741">
        <f>IF($A741="","",G741-F741)</f>
        <v/>
      </c>
      <c r="I741" s="17">
        <f>IF($A741="","",IF(F741=0,IF(H741=0,0,1),ABS(H741)/F741))</f>
        <v/>
      </c>
      <c r="J741" s="18">
        <f>IF($A741="","",IF($E741="A",$E$1,IF($E741="B",$G$1,$I$1)))</f>
        <v/>
      </c>
      <c r="K741">
        <f>IF($A741="","",IF(H741=0,"MATCH",IF(I741&gt;J741,"RECOUNT","WITHIN TOLERANCE")))</f>
        <v/>
      </c>
      <c r="L741" s="5" t="n"/>
      <c r="M741">
        <f>IF(OR($A741="",$L741=""),"",L741-F741)</f>
        <v/>
      </c>
      <c r="N741" s="5" t="n"/>
      <c r="O741" s="5" t="n"/>
    </row>
    <row r="742">
      <c r="A742">
        <f>IF('Blind Count Entry'!A740="","",'Blind Count Entry'!A740)</f>
        <v/>
      </c>
      <c r="B742" s="16">
        <f>IF($A742="","",'Blind Count Entry'!B740)</f>
        <v/>
      </c>
      <c r="C742">
        <f>IF($A742="","",'Blind Count Entry'!C740)</f>
        <v/>
      </c>
      <c r="D742">
        <f>IF($A742="","",'Blind Count Entry'!D740)</f>
        <v/>
      </c>
      <c r="E742">
        <f>IF($A742="","",IFERROR(INDEX('ABC Analysis'!$F:$F,MATCH($C742,'ABC Analysis'!$A:$A,0)),""))</f>
        <v/>
      </c>
      <c r="F742">
        <f>IF($A742="","",IFERROR(INDEX('Master Inventory'!$E:$E,MATCH($C742,'Master Inventory'!$A:$A,0)),0))</f>
        <v/>
      </c>
      <c r="G742">
        <f>IF($A742="","",'Blind Count Entry'!F740)</f>
        <v/>
      </c>
      <c r="H742">
        <f>IF($A742="","",G742-F742)</f>
        <v/>
      </c>
      <c r="I742" s="17">
        <f>IF($A742="","",IF(F742=0,IF(H742=0,0,1),ABS(H742)/F742))</f>
        <v/>
      </c>
      <c r="J742" s="18">
        <f>IF($A742="","",IF($E742="A",$E$1,IF($E742="B",$G$1,$I$1)))</f>
        <v/>
      </c>
      <c r="K742">
        <f>IF($A742="","",IF(H742=0,"MATCH",IF(I742&gt;J742,"RECOUNT","WITHIN TOLERANCE")))</f>
        <v/>
      </c>
      <c r="L742" s="5" t="n"/>
      <c r="M742">
        <f>IF(OR($A742="",$L742=""),"",L742-F742)</f>
        <v/>
      </c>
      <c r="N742" s="5" t="n"/>
      <c r="O742" s="5" t="n"/>
    </row>
    <row r="743">
      <c r="A743">
        <f>IF('Blind Count Entry'!A741="","",'Blind Count Entry'!A741)</f>
        <v/>
      </c>
      <c r="B743" s="16">
        <f>IF($A743="","",'Blind Count Entry'!B741)</f>
        <v/>
      </c>
      <c r="C743">
        <f>IF($A743="","",'Blind Count Entry'!C741)</f>
        <v/>
      </c>
      <c r="D743">
        <f>IF($A743="","",'Blind Count Entry'!D741)</f>
        <v/>
      </c>
      <c r="E743">
        <f>IF($A743="","",IFERROR(INDEX('ABC Analysis'!$F:$F,MATCH($C743,'ABC Analysis'!$A:$A,0)),""))</f>
        <v/>
      </c>
      <c r="F743">
        <f>IF($A743="","",IFERROR(INDEX('Master Inventory'!$E:$E,MATCH($C743,'Master Inventory'!$A:$A,0)),0))</f>
        <v/>
      </c>
      <c r="G743">
        <f>IF($A743="","",'Blind Count Entry'!F741)</f>
        <v/>
      </c>
      <c r="H743">
        <f>IF($A743="","",G743-F743)</f>
        <v/>
      </c>
      <c r="I743" s="17">
        <f>IF($A743="","",IF(F743=0,IF(H743=0,0,1),ABS(H743)/F743))</f>
        <v/>
      </c>
      <c r="J743" s="18">
        <f>IF($A743="","",IF($E743="A",$E$1,IF($E743="B",$G$1,$I$1)))</f>
        <v/>
      </c>
      <c r="K743">
        <f>IF($A743="","",IF(H743=0,"MATCH",IF(I743&gt;J743,"RECOUNT","WITHIN TOLERANCE")))</f>
        <v/>
      </c>
      <c r="L743" s="5" t="n"/>
      <c r="M743">
        <f>IF(OR($A743="",$L743=""),"",L743-F743)</f>
        <v/>
      </c>
      <c r="N743" s="5" t="n"/>
      <c r="O743" s="5" t="n"/>
    </row>
    <row r="744">
      <c r="A744">
        <f>IF('Blind Count Entry'!A742="","",'Blind Count Entry'!A742)</f>
        <v/>
      </c>
      <c r="B744" s="16">
        <f>IF($A744="","",'Blind Count Entry'!B742)</f>
        <v/>
      </c>
      <c r="C744">
        <f>IF($A744="","",'Blind Count Entry'!C742)</f>
        <v/>
      </c>
      <c r="D744">
        <f>IF($A744="","",'Blind Count Entry'!D742)</f>
        <v/>
      </c>
      <c r="E744">
        <f>IF($A744="","",IFERROR(INDEX('ABC Analysis'!$F:$F,MATCH($C744,'ABC Analysis'!$A:$A,0)),""))</f>
        <v/>
      </c>
      <c r="F744">
        <f>IF($A744="","",IFERROR(INDEX('Master Inventory'!$E:$E,MATCH($C744,'Master Inventory'!$A:$A,0)),0))</f>
        <v/>
      </c>
      <c r="G744">
        <f>IF($A744="","",'Blind Count Entry'!F742)</f>
        <v/>
      </c>
      <c r="H744">
        <f>IF($A744="","",G744-F744)</f>
        <v/>
      </c>
      <c r="I744" s="17">
        <f>IF($A744="","",IF(F744=0,IF(H744=0,0,1),ABS(H744)/F744))</f>
        <v/>
      </c>
      <c r="J744" s="18">
        <f>IF($A744="","",IF($E744="A",$E$1,IF($E744="B",$G$1,$I$1)))</f>
        <v/>
      </c>
      <c r="K744">
        <f>IF($A744="","",IF(H744=0,"MATCH",IF(I744&gt;J744,"RECOUNT","WITHIN TOLERANCE")))</f>
        <v/>
      </c>
      <c r="L744" s="5" t="n"/>
      <c r="M744">
        <f>IF(OR($A744="",$L744=""),"",L744-F744)</f>
        <v/>
      </c>
      <c r="N744" s="5" t="n"/>
      <c r="O744" s="5" t="n"/>
    </row>
    <row r="745">
      <c r="A745">
        <f>IF('Blind Count Entry'!A743="","",'Blind Count Entry'!A743)</f>
        <v/>
      </c>
      <c r="B745" s="16">
        <f>IF($A745="","",'Blind Count Entry'!B743)</f>
        <v/>
      </c>
      <c r="C745">
        <f>IF($A745="","",'Blind Count Entry'!C743)</f>
        <v/>
      </c>
      <c r="D745">
        <f>IF($A745="","",'Blind Count Entry'!D743)</f>
        <v/>
      </c>
      <c r="E745">
        <f>IF($A745="","",IFERROR(INDEX('ABC Analysis'!$F:$F,MATCH($C745,'ABC Analysis'!$A:$A,0)),""))</f>
        <v/>
      </c>
      <c r="F745">
        <f>IF($A745="","",IFERROR(INDEX('Master Inventory'!$E:$E,MATCH($C745,'Master Inventory'!$A:$A,0)),0))</f>
        <v/>
      </c>
      <c r="G745">
        <f>IF($A745="","",'Blind Count Entry'!F743)</f>
        <v/>
      </c>
      <c r="H745">
        <f>IF($A745="","",G745-F745)</f>
        <v/>
      </c>
      <c r="I745" s="17">
        <f>IF($A745="","",IF(F745=0,IF(H745=0,0,1),ABS(H745)/F745))</f>
        <v/>
      </c>
      <c r="J745" s="18">
        <f>IF($A745="","",IF($E745="A",$E$1,IF($E745="B",$G$1,$I$1)))</f>
        <v/>
      </c>
      <c r="K745">
        <f>IF($A745="","",IF(H745=0,"MATCH",IF(I745&gt;J745,"RECOUNT","WITHIN TOLERANCE")))</f>
        <v/>
      </c>
      <c r="L745" s="5" t="n"/>
      <c r="M745">
        <f>IF(OR($A745="",$L745=""),"",L745-F745)</f>
        <v/>
      </c>
      <c r="N745" s="5" t="n"/>
      <c r="O745" s="5" t="n"/>
    </row>
    <row r="746">
      <c r="A746">
        <f>IF('Blind Count Entry'!A744="","",'Blind Count Entry'!A744)</f>
        <v/>
      </c>
      <c r="B746" s="16">
        <f>IF($A746="","",'Blind Count Entry'!B744)</f>
        <v/>
      </c>
      <c r="C746">
        <f>IF($A746="","",'Blind Count Entry'!C744)</f>
        <v/>
      </c>
      <c r="D746">
        <f>IF($A746="","",'Blind Count Entry'!D744)</f>
        <v/>
      </c>
      <c r="E746">
        <f>IF($A746="","",IFERROR(INDEX('ABC Analysis'!$F:$F,MATCH($C746,'ABC Analysis'!$A:$A,0)),""))</f>
        <v/>
      </c>
      <c r="F746">
        <f>IF($A746="","",IFERROR(INDEX('Master Inventory'!$E:$E,MATCH($C746,'Master Inventory'!$A:$A,0)),0))</f>
        <v/>
      </c>
      <c r="G746">
        <f>IF($A746="","",'Blind Count Entry'!F744)</f>
        <v/>
      </c>
      <c r="H746">
        <f>IF($A746="","",G746-F746)</f>
        <v/>
      </c>
      <c r="I746" s="17">
        <f>IF($A746="","",IF(F746=0,IF(H746=0,0,1),ABS(H746)/F746))</f>
        <v/>
      </c>
      <c r="J746" s="18">
        <f>IF($A746="","",IF($E746="A",$E$1,IF($E746="B",$G$1,$I$1)))</f>
        <v/>
      </c>
      <c r="K746">
        <f>IF($A746="","",IF(H746=0,"MATCH",IF(I746&gt;J746,"RECOUNT","WITHIN TOLERANCE")))</f>
        <v/>
      </c>
      <c r="L746" s="5" t="n"/>
      <c r="M746">
        <f>IF(OR($A746="",$L746=""),"",L746-F746)</f>
        <v/>
      </c>
      <c r="N746" s="5" t="n"/>
      <c r="O746" s="5" t="n"/>
    </row>
    <row r="747">
      <c r="A747">
        <f>IF('Blind Count Entry'!A745="","",'Blind Count Entry'!A745)</f>
        <v/>
      </c>
      <c r="B747" s="16">
        <f>IF($A747="","",'Blind Count Entry'!B745)</f>
        <v/>
      </c>
      <c r="C747">
        <f>IF($A747="","",'Blind Count Entry'!C745)</f>
        <v/>
      </c>
      <c r="D747">
        <f>IF($A747="","",'Blind Count Entry'!D745)</f>
        <v/>
      </c>
      <c r="E747">
        <f>IF($A747="","",IFERROR(INDEX('ABC Analysis'!$F:$F,MATCH($C747,'ABC Analysis'!$A:$A,0)),""))</f>
        <v/>
      </c>
      <c r="F747">
        <f>IF($A747="","",IFERROR(INDEX('Master Inventory'!$E:$E,MATCH($C747,'Master Inventory'!$A:$A,0)),0))</f>
        <v/>
      </c>
      <c r="G747">
        <f>IF($A747="","",'Blind Count Entry'!F745)</f>
        <v/>
      </c>
      <c r="H747">
        <f>IF($A747="","",G747-F747)</f>
        <v/>
      </c>
      <c r="I747" s="17">
        <f>IF($A747="","",IF(F747=0,IF(H747=0,0,1),ABS(H747)/F747))</f>
        <v/>
      </c>
      <c r="J747" s="18">
        <f>IF($A747="","",IF($E747="A",$E$1,IF($E747="B",$G$1,$I$1)))</f>
        <v/>
      </c>
      <c r="K747">
        <f>IF($A747="","",IF(H747=0,"MATCH",IF(I747&gt;J747,"RECOUNT","WITHIN TOLERANCE")))</f>
        <v/>
      </c>
      <c r="L747" s="5" t="n"/>
      <c r="M747">
        <f>IF(OR($A747="",$L747=""),"",L747-F747)</f>
        <v/>
      </c>
      <c r="N747" s="5" t="n"/>
      <c r="O747" s="5" t="n"/>
    </row>
    <row r="748">
      <c r="A748">
        <f>IF('Blind Count Entry'!A746="","",'Blind Count Entry'!A746)</f>
        <v/>
      </c>
      <c r="B748" s="16">
        <f>IF($A748="","",'Blind Count Entry'!B746)</f>
        <v/>
      </c>
      <c r="C748">
        <f>IF($A748="","",'Blind Count Entry'!C746)</f>
        <v/>
      </c>
      <c r="D748">
        <f>IF($A748="","",'Blind Count Entry'!D746)</f>
        <v/>
      </c>
      <c r="E748">
        <f>IF($A748="","",IFERROR(INDEX('ABC Analysis'!$F:$F,MATCH($C748,'ABC Analysis'!$A:$A,0)),""))</f>
        <v/>
      </c>
      <c r="F748">
        <f>IF($A748="","",IFERROR(INDEX('Master Inventory'!$E:$E,MATCH($C748,'Master Inventory'!$A:$A,0)),0))</f>
        <v/>
      </c>
      <c r="G748">
        <f>IF($A748="","",'Blind Count Entry'!F746)</f>
        <v/>
      </c>
      <c r="H748">
        <f>IF($A748="","",G748-F748)</f>
        <v/>
      </c>
      <c r="I748" s="17">
        <f>IF($A748="","",IF(F748=0,IF(H748=0,0,1),ABS(H748)/F748))</f>
        <v/>
      </c>
      <c r="J748" s="18">
        <f>IF($A748="","",IF($E748="A",$E$1,IF($E748="B",$G$1,$I$1)))</f>
        <v/>
      </c>
      <c r="K748">
        <f>IF($A748="","",IF(H748=0,"MATCH",IF(I748&gt;J748,"RECOUNT","WITHIN TOLERANCE")))</f>
        <v/>
      </c>
      <c r="L748" s="5" t="n"/>
      <c r="M748">
        <f>IF(OR($A748="",$L748=""),"",L748-F748)</f>
        <v/>
      </c>
      <c r="N748" s="5" t="n"/>
      <c r="O748" s="5" t="n"/>
    </row>
    <row r="749">
      <c r="A749">
        <f>IF('Blind Count Entry'!A747="","",'Blind Count Entry'!A747)</f>
        <v/>
      </c>
      <c r="B749" s="16">
        <f>IF($A749="","",'Blind Count Entry'!B747)</f>
        <v/>
      </c>
      <c r="C749">
        <f>IF($A749="","",'Blind Count Entry'!C747)</f>
        <v/>
      </c>
      <c r="D749">
        <f>IF($A749="","",'Blind Count Entry'!D747)</f>
        <v/>
      </c>
      <c r="E749">
        <f>IF($A749="","",IFERROR(INDEX('ABC Analysis'!$F:$F,MATCH($C749,'ABC Analysis'!$A:$A,0)),""))</f>
        <v/>
      </c>
      <c r="F749">
        <f>IF($A749="","",IFERROR(INDEX('Master Inventory'!$E:$E,MATCH($C749,'Master Inventory'!$A:$A,0)),0))</f>
        <v/>
      </c>
      <c r="G749">
        <f>IF($A749="","",'Blind Count Entry'!F747)</f>
        <v/>
      </c>
      <c r="H749">
        <f>IF($A749="","",G749-F749)</f>
        <v/>
      </c>
      <c r="I749" s="17">
        <f>IF($A749="","",IF(F749=0,IF(H749=0,0,1),ABS(H749)/F749))</f>
        <v/>
      </c>
      <c r="J749" s="18">
        <f>IF($A749="","",IF($E749="A",$E$1,IF($E749="B",$G$1,$I$1)))</f>
        <v/>
      </c>
      <c r="K749">
        <f>IF($A749="","",IF(H749=0,"MATCH",IF(I749&gt;J749,"RECOUNT","WITHIN TOLERANCE")))</f>
        <v/>
      </c>
      <c r="L749" s="5" t="n"/>
      <c r="M749">
        <f>IF(OR($A749="",$L749=""),"",L749-F749)</f>
        <v/>
      </c>
      <c r="N749" s="5" t="n"/>
      <c r="O749" s="5" t="n"/>
    </row>
    <row r="750">
      <c r="A750">
        <f>IF('Blind Count Entry'!A748="","",'Blind Count Entry'!A748)</f>
        <v/>
      </c>
      <c r="B750" s="16">
        <f>IF($A750="","",'Blind Count Entry'!B748)</f>
        <v/>
      </c>
      <c r="C750">
        <f>IF($A750="","",'Blind Count Entry'!C748)</f>
        <v/>
      </c>
      <c r="D750">
        <f>IF($A750="","",'Blind Count Entry'!D748)</f>
        <v/>
      </c>
      <c r="E750">
        <f>IF($A750="","",IFERROR(INDEX('ABC Analysis'!$F:$F,MATCH($C750,'ABC Analysis'!$A:$A,0)),""))</f>
        <v/>
      </c>
      <c r="F750">
        <f>IF($A750="","",IFERROR(INDEX('Master Inventory'!$E:$E,MATCH($C750,'Master Inventory'!$A:$A,0)),0))</f>
        <v/>
      </c>
      <c r="G750">
        <f>IF($A750="","",'Blind Count Entry'!F748)</f>
        <v/>
      </c>
      <c r="H750">
        <f>IF($A750="","",G750-F750)</f>
        <v/>
      </c>
      <c r="I750" s="17">
        <f>IF($A750="","",IF(F750=0,IF(H750=0,0,1),ABS(H750)/F750))</f>
        <v/>
      </c>
      <c r="J750" s="18">
        <f>IF($A750="","",IF($E750="A",$E$1,IF($E750="B",$G$1,$I$1)))</f>
        <v/>
      </c>
      <c r="K750">
        <f>IF($A750="","",IF(H750=0,"MATCH",IF(I750&gt;J750,"RECOUNT","WITHIN TOLERANCE")))</f>
        <v/>
      </c>
      <c r="L750" s="5" t="n"/>
      <c r="M750">
        <f>IF(OR($A750="",$L750=""),"",L750-F750)</f>
        <v/>
      </c>
      <c r="N750" s="5" t="n"/>
      <c r="O750" s="5" t="n"/>
    </row>
    <row r="751">
      <c r="A751">
        <f>IF('Blind Count Entry'!A749="","",'Blind Count Entry'!A749)</f>
        <v/>
      </c>
      <c r="B751" s="16">
        <f>IF($A751="","",'Blind Count Entry'!B749)</f>
        <v/>
      </c>
      <c r="C751">
        <f>IF($A751="","",'Blind Count Entry'!C749)</f>
        <v/>
      </c>
      <c r="D751">
        <f>IF($A751="","",'Blind Count Entry'!D749)</f>
        <v/>
      </c>
      <c r="E751">
        <f>IF($A751="","",IFERROR(INDEX('ABC Analysis'!$F:$F,MATCH($C751,'ABC Analysis'!$A:$A,0)),""))</f>
        <v/>
      </c>
      <c r="F751">
        <f>IF($A751="","",IFERROR(INDEX('Master Inventory'!$E:$E,MATCH($C751,'Master Inventory'!$A:$A,0)),0))</f>
        <v/>
      </c>
      <c r="G751">
        <f>IF($A751="","",'Blind Count Entry'!F749)</f>
        <v/>
      </c>
      <c r="H751">
        <f>IF($A751="","",G751-F751)</f>
        <v/>
      </c>
      <c r="I751" s="17">
        <f>IF($A751="","",IF(F751=0,IF(H751=0,0,1),ABS(H751)/F751))</f>
        <v/>
      </c>
      <c r="J751" s="18">
        <f>IF($A751="","",IF($E751="A",$E$1,IF($E751="B",$G$1,$I$1)))</f>
        <v/>
      </c>
      <c r="K751">
        <f>IF($A751="","",IF(H751=0,"MATCH",IF(I751&gt;J751,"RECOUNT","WITHIN TOLERANCE")))</f>
        <v/>
      </c>
      <c r="L751" s="5" t="n"/>
      <c r="M751">
        <f>IF(OR($A751="",$L751=""),"",L751-F751)</f>
        <v/>
      </c>
      <c r="N751" s="5" t="n"/>
      <c r="O751" s="5" t="n"/>
    </row>
    <row r="752">
      <c r="A752">
        <f>IF('Blind Count Entry'!A750="","",'Blind Count Entry'!A750)</f>
        <v/>
      </c>
      <c r="B752" s="16">
        <f>IF($A752="","",'Blind Count Entry'!B750)</f>
        <v/>
      </c>
      <c r="C752">
        <f>IF($A752="","",'Blind Count Entry'!C750)</f>
        <v/>
      </c>
      <c r="D752">
        <f>IF($A752="","",'Blind Count Entry'!D750)</f>
        <v/>
      </c>
      <c r="E752">
        <f>IF($A752="","",IFERROR(INDEX('ABC Analysis'!$F:$F,MATCH($C752,'ABC Analysis'!$A:$A,0)),""))</f>
        <v/>
      </c>
      <c r="F752">
        <f>IF($A752="","",IFERROR(INDEX('Master Inventory'!$E:$E,MATCH($C752,'Master Inventory'!$A:$A,0)),0))</f>
        <v/>
      </c>
      <c r="G752">
        <f>IF($A752="","",'Blind Count Entry'!F750)</f>
        <v/>
      </c>
      <c r="H752">
        <f>IF($A752="","",G752-F752)</f>
        <v/>
      </c>
      <c r="I752" s="17">
        <f>IF($A752="","",IF(F752=0,IF(H752=0,0,1),ABS(H752)/F752))</f>
        <v/>
      </c>
      <c r="J752" s="18">
        <f>IF($A752="","",IF($E752="A",$E$1,IF($E752="B",$G$1,$I$1)))</f>
        <v/>
      </c>
      <c r="K752">
        <f>IF($A752="","",IF(H752=0,"MATCH",IF(I752&gt;J752,"RECOUNT","WITHIN TOLERANCE")))</f>
        <v/>
      </c>
      <c r="L752" s="5" t="n"/>
      <c r="M752">
        <f>IF(OR($A752="",$L752=""),"",L752-F752)</f>
        <v/>
      </c>
      <c r="N752" s="5" t="n"/>
      <c r="O752" s="5" t="n"/>
    </row>
    <row r="753">
      <c r="A753">
        <f>IF('Blind Count Entry'!A751="","",'Blind Count Entry'!A751)</f>
        <v/>
      </c>
      <c r="B753" s="16">
        <f>IF($A753="","",'Blind Count Entry'!B751)</f>
        <v/>
      </c>
      <c r="C753">
        <f>IF($A753="","",'Blind Count Entry'!C751)</f>
        <v/>
      </c>
      <c r="D753">
        <f>IF($A753="","",'Blind Count Entry'!D751)</f>
        <v/>
      </c>
      <c r="E753">
        <f>IF($A753="","",IFERROR(INDEX('ABC Analysis'!$F:$F,MATCH($C753,'ABC Analysis'!$A:$A,0)),""))</f>
        <v/>
      </c>
      <c r="F753">
        <f>IF($A753="","",IFERROR(INDEX('Master Inventory'!$E:$E,MATCH($C753,'Master Inventory'!$A:$A,0)),0))</f>
        <v/>
      </c>
      <c r="G753">
        <f>IF($A753="","",'Blind Count Entry'!F751)</f>
        <v/>
      </c>
      <c r="H753">
        <f>IF($A753="","",G753-F753)</f>
        <v/>
      </c>
      <c r="I753" s="17">
        <f>IF($A753="","",IF(F753=0,IF(H753=0,0,1),ABS(H753)/F753))</f>
        <v/>
      </c>
      <c r="J753" s="18">
        <f>IF($A753="","",IF($E753="A",$E$1,IF($E753="B",$G$1,$I$1)))</f>
        <v/>
      </c>
      <c r="K753">
        <f>IF($A753="","",IF(H753=0,"MATCH",IF(I753&gt;J753,"RECOUNT","WITHIN TOLERANCE")))</f>
        <v/>
      </c>
      <c r="L753" s="5" t="n"/>
      <c r="M753">
        <f>IF(OR($A753="",$L753=""),"",L753-F753)</f>
        <v/>
      </c>
      <c r="N753" s="5" t="n"/>
      <c r="O753" s="5" t="n"/>
    </row>
    <row r="754">
      <c r="A754">
        <f>IF('Blind Count Entry'!A752="","",'Blind Count Entry'!A752)</f>
        <v/>
      </c>
      <c r="B754" s="16">
        <f>IF($A754="","",'Blind Count Entry'!B752)</f>
        <v/>
      </c>
      <c r="C754">
        <f>IF($A754="","",'Blind Count Entry'!C752)</f>
        <v/>
      </c>
      <c r="D754">
        <f>IF($A754="","",'Blind Count Entry'!D752)</f>
        <v/>
      </c>
      <c r="E754">
        <f>IF($A754="","",IFERROR(INDEX('ABC Analysis'!$F:$F,MATCH($C754,'ABC Analysis'!$A:$A,0)),""))</f>
        <v/>
      </c>
      <c r="F754">
        <f>IF($A754="","",IFERROR(INDEX('Master Inventory'!$E:$E,MATCH($C754,'Master Inventory'!$A:$A,0)),0))</f>
        <v/>
      </c>
      <c r="G754">
        <f>IF($A754="","",'Blind Count Entry'!F752)</f>
        <v/>
      </c>
      <c r="H754">
        <f>IF($A754="","",G754-F754)</f>
        <v/>
      </c>
      <c r="I754" s="17">
        <f>IF($A754="","",IF(F754=0,IF(H754=0,0,1),ABS(H754)/F754))</f>
        <v/>
      </c>
      <c r="J754" s="18">
        <f>IF($A754="","",IF($E754="A",$E$1,IF($E754="B",$G$1,$I$1)))</f>
        <v/>
      </c>
      <c r="K754">
        <f>IF($A754="","",IF(H754=0,"MATCH",IF(I754&gt;J754,"RECOUNT","WITHIN TOLERANCE")))</f>
        <v/>
      </c>
      <c r="L754" s="5" t="n"/>
      <c r="M754">
        <f>IF(OR($A754="",$L754=""),"",L754-F754)</f>
        <v/>
      </c>
      <c r="N754" s="5" t="n"/>
      <c r="O754" s="5" t="n"/>
    </row>
    <row r="755">
      <c r="A755">
        <f>IF('Blind Count Entry'!A753="","",'Blind Count Entry'!A753)</f>
        <v/>
      </c>
      <c r="B755" s="16">
        <f>IF($A755="","",'Blind Count Entry'!B753)</f>
        <v/>
      </c>
      <c r="C755">
        <f>IF($A755="","",'Blind Count Entry'!C753)</f>
        <v/>
      </c>
      <c r="D755">
        <f>IF($A755="","",'Blind Count Entry'!D753)</f>
        <v/>
      </c>
      <c r="E755">
        <f>IF($A755="","",IFERROR(INDEX('ABC Analysis'!$F:$F,MATCH($C755,'ABC Analysis'!$A:$A,0)),""))</f>
        <v/>
      </c>
      <c r="F755">
        <f>IF($A755="","",IFERROR(INDEX('Master Inventory'!$E:$E,MATCH($C755,'Master Inventory'!$A:$A,0)),0))</f>
        <v/>
      </c>
      <c r="G755">
        <f>IF($A755="","",'Blind Count Entry'!F753)</f>
        <v/>
      </c>
      <c r="H755">
        <f>IF($A755="","",G755-F755)</f>
        <v/>
      </c>
      <c r="I755" s="17">
        <f>IF($A755="","",IF(F755=0,IF(H755=0,0,1),ABS(H755)/F755))</f>
        <v/>
      </c>
      <c r="J755" s="18">
        <f>IF($A755="","",IF($E755="A",$E$1,IF($E755="B",$G$1,$I$1)))</f>
        <v/>
      </c>
      <c r="K755">
        <f>IF($A755="","",IF(H755=0,"MATCH",IF(I755&gt;J755,"RECOUNT","WITHIN TOLERANCE")))</f>
        <v/>
      </c>
      <c r="L755" s="5" t="n"/>
      <c r="M755">
        <f>IF(OR($A755="",$L755=""),"",L755-F755)</f>
        <v/>
      </c>
      <c r="N755" s="5" t="n"/>
      <c r="O755" s="5" t="n"/>
    </row>
    <row r="756">
      <c r="A756">
        <f>IF('Blind Count Entry'!A754="","",'Blind Count Entry'!A754)</f>
        <v/>
      </c>
      <c r="B756" s="16">
        <f>IF($A756="","",'Blind Count Entry'!B754)</f>
        <v/>
      </c>
      <c r="C756">
        <f>IF($A756="","",'Blind Count Entry'!C754)</f>
        <v/>
      </c>
      <c r="D756">
        <f>IF($A756="","",'Blind Count Entry'!D754)</f>
        <v/>
      </c>
      <c r="E756">
        <f>IF($A756="","",IFERROR(INDEX('ABC Analysis'!$F:$F,MATCH($C756,'ABC Analysis'!$A:$A,0)),""))</f>
        <v/>
      </c>
      <c r="F756">
        <f>IF($A756="","",IFERROR(INDEX('Master Inventory'!$E:$E,MATCH($C756,'Master Inventory'!$A:$A,0)),0))</f>
        <v/>
      </c>
      <c r="G756">
        <f>IF($A756="","",'Blind Count Entry'!F754)</f>
        <v/>
      </c>
      <c r="H756">
        <f>IF($A756="","",G756-F756)</f>
        <v/>
      </c>
      <c r="I756" s="17">
        <f>IF($A756="","",IF(F756=0,IF(H756=0,0,1),ABS(H756)/F756))</f>
        <v/>
      </c>
      <c r="J756" s="18">
        <f>IF($A756="","",IF($E756="A",$E$1,IF($E756="B",$G$1,$I$1)))</f>
        <v/>
      </c>
      <c r="K756">
        <f>IF($A756="","",IF(H756=0,"MATCH",IF(I756&gt;J756,"RECOUNT","WITHIN TOLERANCE")))</f>
        <v/>
      </c>
      <c r="L756" s="5" t="n"/>
      <c r="M756">
        <f>IF(OR($A756="",$L756=""),"",L756-F756)</f>
        <v/>
      </c>
      <c r="N756" s="5" t="n"/>
      <c r="O756" s="5" t="n"/>
    </row>
    <row r="757">
      <c r="A757">
        <f>IF('Blind Count Entry'!A755="","",'Blind Count Entry'!A755)</f>
        <v/>
      </c>
      <c r="B757" s="16">
        <f>IF($A757="","",'Blind Count Entry'!B755)</f>
        <v/>
      </c>
      <c r="C757">
        <f>IF($A757="","",'Blind Count Entry'!C755)</f>
        <v/>
      </c>
      <c r="D757">
        <f>IF($A757="","",'Blind Count Entry'!D755)</f>
        <v/>
      </c>
      <c r="E757">
        <f>IF($A757="","",IFERROR(INDEX('ABC Analysis'!$F:$F,MATCH($C757,'ABC Analysis'!$A:$A,0)),""))</f>
        <v/>
      </c>
      <c r="F757">
        <f>IF($A757="","",IFERROR(INDEX('Master Inventory'!$E:$E,MATCH($C757,'Master Inventory'!$A:$A,0)),0))</f>
        <v/>
      </c>
      <c r="G757">
        <f>IF($A757="","",'Blind Count Entry'!F755)</f>
        <v/>
      </c>
      <c r="H757">
        <f>IF($A757="","",G757-F757)</f>
        <v/>
      </c>
      <c r="I757" s="17">
        <f>IF($A757="","",IF(F757=0,IF(H757=0,0,1),ABS(H757)/F757))</f>
        <v/>
      </c>
      <c r="J757" s="18">
        <f>IF($A757="","",IF($E757="A",$E$1,IF($E757="B",$G$1,$I$1)))</f>
        <v/>
      </c>
      <c r="K757">
        <f>IF($A757="","",IF(H757=0,"MATCH",IF(I757&gt;J757,"RECOUNT","WITHIN TOLERANCE")))</f>
        <v/>
      </c>
      <c r="L757" s="5" t="n"/>
      <c r="M757">
        <f>IF(OR($A757="",$L757=""),"",L757-F757)</f>
        <v/>
      </c>
      <c r="N757" s="5" t="n"/>
      <c r="O757" s="5" t="n"/>
    </row>
    <row r="758">
      <c r="A758">
        <f>IF('Blind Count Entry'!A756="","",'Blind Count Entry'!A756)</f>
        <v/>
      </c>
      <c r="B758" s="16">
        <f>IF($A758="","",'Blind Count Entry'!B756)</f>
        <v/>
      </c>
      <c r="C758">
        <f>IF($A758="","",'Blind Count Entry'!C756)</f>
        <v/>
      </c>
      <c r="D758">
        <f>IF($A758="","",'Blind Count Entry'!D756)</f>
        <v/>
      </c>
      <c r="E758">
        <f>IF($A758="","",IFERROR(INDEX('ABC Analysis'!$F:$F,MATCH($C758,'ABC Analysis'!$A:$A,0)),""))</f>
        <v/>
      </c>
      <c r="F758">
        <f>IF($A758="","",IFERROR(INDEX('Master Inventory'!$E:$E,MATCH($C758,'Master Inventory'!$A:$A,0)),0))</f>
        <v/>
      </c>
      <c r="G758">
        <f>IF($A758="","",'Blind Count Entry'!F756)</f>
        <v/>
      </c>
      <c r="H758">
        <f>IF($A758="","",G758-F758)</f>
        <v/>
      </c>
      <c r="I758" s="17">
        <f>IF($A758="","",IF(F758=0,IF(H758=0,0,1),ABS(H758)/F758))</f>
        <v/>
      </c>
      <c r="J758" s="18">
        <f>IF($A758="","",IF($E758="A",$E$1,IF($E758="B",$G$1,$I$1)))</f>
        <v/>
      </c>
      <c r="K758">
        <f>IF($A758="","",IF(H758=0,"MATCH",IF(I758&gt;J758,"RECOUNT","WITHIN TOLERANCE")))</f>
        <v/>
      </c>
      <c r="L758" s="5" t="n"/>
      <c r="M758">
        <f>IF(OR($A758="",$L758=""),"",L758-F758)</f>
        <v/>
      </c>
      <c r="N758" s="5" t="n"/>
      <c r="O758" s="5" t="n"/>
    </row>
    <row r="759">
      <c r="A759">
        <f>IF('Blind Count Entry'!A757="","",'Blind Count Entry'!A757)</f>
        <v/>
      </c>
      <c r="B759" s="16">
        <f>IF($A759="","",'Blind Count Entry'!B757)</f>
        <v/>
      </c>
      <c r="C759">
        <f>IF($A759="","",'Blind Count Entry'!C757)</f>
        <v/>
      </c>
      <c r="D759">
        <f>IF($A759="","",'Blind Count Entry'!D757)</f>
        <v/>
      </c>
      <c r="E759">
        <f>IF($A759="","",IFERROR(INDEX('ABC Analysis'!$F:$F,MATCH($C759,'ABC Analysis'!$A:$A,0)),""))</f>
        <v/>
      </c>
      <c r="F759">
        <f>IF($A759="","",IFERROR(INDEX('Master Inventory'!$E:$E,MATCH($C759,'Master Inventory'!$A:$A,0)),0))</f>
        <v/>
      </c>
      <c r="G759">
        <f>IF($A759="","",'Blind Count Entry'!F757)</f>
        <v/>
      </c>
      <c r="H759">
        <f>IF($A759="","",G759-F759)</f>
        <v/>
      </c>
      <c r="I759" s="17">
        <f>IF($A759="","",IF(F759=0,IF(H759=0,0,1),ABS(H759)/F759))</f>
        <v/>
      </c>
      <c r="J759" s="18">
        <f>IF($A759="","",IF($E759="A",$E$1,IF($E759="B",$G$1,$I$1)))</f>
        <v/>
      </c>
      <c r="K759">
        <f>IF($A759="","",IF(H759=0,"MATCH",IF(I759&gt;J759,"RECOUNT","WITHIN TOLERANCE")))</f>
        <v/>
      </c>
      <c r="L759" s="5" t="n"/>
      <c r="M759">
        <f>IF(OR($A759="",$L759=""),"",L759-F759)</f>
        <v/>
      </c>
      <c r="N759" s="5" t="n"/>
      <c r="O759" s="5" t="n"/>
    </row>
    <row r="760">
      <c r="A760">
        <f>IF('Blind Count Entry'!A758="","",'Blind Count Entry'!A758)</f>
        <v/>
      </c>
      <c r="B760" s="16">
        <f>IF($A760="","",'Blind Count Entry'!B758)</f>
        <v/>
      </c>
      <c r="C760">
        <f>IF($A760="","",'Blind Count Entry'!C758)</f>
        <v/>
      </c>
      <c r="D760">
        <f>IF($A760="","",'Blind Count Entry'!D758)</f>
        <v/>
      </c>
      <c r="E760">
        <f>IF($A760="","",IFERROR(INDEX('ABC Analysis'!$F:$F,MATCH($C760,'ABC Analysis'!$A:$A,0)),""))</f>
        <v/>
      </c>
      <c r="F760">
        <f>IF($A760="","",IFERROR(INDEX('Master Inventory'!$E:$E,MATCH($C760,'Master Inventory'!$A:$A,0)),0))</f>
        <v/>
      </c>
      <c r="G760">
        <f>IF($A760="","",'Blind Count Entry'!F758)</f>
        <v/>
      </c>
      <c r="H760">
        <f>IF($A760="","",G760-F760)</f>
        <v/>
      </c>
      <c r="I760" s="17">
        <f>IF($A760="","",IF(F760=0,IF(H760=0,0,1),ABS(H760)/F760))</f>
        <v/>
      </c>
      <c r="J760" s="18">
        <f>IF($A760="","",IF($E760="A",$E$1,IF($E760="B",$G$1,$I$1)))</f>
        <v/>
      </c>
      <c r="K760">
        <f>IF($A760="","",IF(H760=0,"MATCH",IF(I760&gt;J760,"RECOUNT","WITHIN TOLERANCE")))</f>
        <v/>
      </c>
      <c r="L760" s="5" t="n"/>
      <c r="M760">
        <f>IF(OR($A760="",$L760=""),"",L760-F760)</f>
        <v/>
      </c>
      <c r="N760" s="5" t="n"/>
      <c r="O760" s="5" t="n"/>
    </row>
    <row r="761">
      <c r="A761">
        <f>IF('Blind Count Entry'!A759="","",'Blind Count Entry'!A759)</f>
        <v/>
      </c>
      <c r="B761" s="16">
        <f>IF($A761="","",'Blind Count Entry'!B759)</f>
        <v/>
      </c>
      <c r="C761">
        <f>IF($A761="","",'Blind Count Entry'!C759)</f>
        <v/>
      </c>
      <c r="D761">
        <f>IF($A761="","",'Blind Count Entry'!D759)</f>
        <v/>
      </c>
      <c r="E761">
        <f>IF($A761="","",IFERROR(INDEX('ABC Analysis'!$F:$F,MATCH($C761,'ABC Analysis'!$A:$A,0)),""))</f>
        <v/>
      </c>
      <c r="F761">
        <f>IF($A761="","",IFERROR(INDEX('Master Inventory'!$E:$E,MATCH($C761,'Master Inventory'!$A:$A,0)),0))</f>
        <v/>
      </c>
      <c r="G761">
        <f>IF($A761="","",'Blind Count Entry'!F759)</f>
        <v/>
      </c>
      <c r="H761">
        <f>IF($A761="","",G761-F761)</f>
        <v/>
      </c>
      <c r="I761" s="17">
        <f>IF($A761="","",IF(F761=0,IF(H761=0,0,1),ABS(H761)/F761))</f>
        <v/>
      </c>
      <c r="J761" s="18">
        <f>IF($A761="","",IF($E761="A",$E$1,IF($E761="B",$G$1,$I$1)))</f>
        <v/>
      </c>
      <c r="K761">
        <f>IF($A761="","",IF(H761=0,"MATCH",IF(I761&gt;J761,"RECOUNT","WITHIN TOLERANCE")))</f>
        <v/>
      </c>
      <c r="L761" s="5" t="n"/>
      <c r="M761">
        <f>IF(OR($A761="",$L761=""),"",L761-F761)</f>
        <v/>
      </c>
      <c r="N761" s="5" t="n"/>
      <c r="O761" s="5" t="n"/>
    </row>
    <row r="762">
      <c r="A762">
        <f>IF('Blind Count Entry'!A760="","",'Blind Count Entry'!A760)</f>
        <v/>
      </c>
      <c r="B762" s="16">
        <f>IF($A762="","",'Blind Count Entry'!B760)</f>
        <v/>
      </c>
      <c r="C762">
        <f>IF($A762="","",'Blind Count Entry'!C760)</f>
        <v/>
      </c>
      <c r="D762">
        <f>IF($A762="","",'Blind Count Entry'!D760)</f>
        <v/>
      </c>
      <c r="E762">
        <f>IF($A762="","",IFERROR(INDEX('ABC Analysis'!$F:$F,MATCH($C762,'ABC Analysis'!$A:$A,0)),""))</f>
        <v/>
      </c>
      <c r="F762">
        <f>IF($A762="","",IFERROR(INDEX('Master Inventory'!$E:$E,MATCH($C762,'Master Inventory'!$A:$A,0)),0))</f>
        <v/>
      </c>
      <c r="G762">
        <f>IF($A762="","",'Blind Count Entry'!F760)</f>
        <v/>
      </c>
      <c r="H762">
        <f>IF($A762="","",G762-F762)</f>
        <v/>
      </c>
      <c r="I762" s="17">
        <f>IF($A762="","",IF(F762=0,IF(H762=0,0,1),ABS(H762)/F762))</f>
        <v/>
      </c>
      <c r="J762" s="18">
        <f>IF($A762="","",IF($E762="A",$E$1,IF($E762="B",$G$1,$I$1)))</f>
        <v/>
      </c>
      <c r="K762">
        <f>IF($A762="","",IF(H762=0,"MATCH",IF(I762&gt;J762,"RECOUNT","WITHIN TOLERANCE")))</f>
        <v/>
      </c>
      <c r="L762" s="5" t="n"/>
      <c r="M762">
        <f>IF(OR($A762="",$L762=""),"",L762-F762)</f>
        <v/>
      </c>
      <c r="N762" s="5" t="n"/>
      <c r="O762" s="5" t="n"/>
    </row>
    <row r="763">
      <c r="A763">
        <f>IF('Blind Count Entry'!A761="","",'Blind Count Entry'!A761)</f>
        <v/>
      </c>
      <c r="B763" s="16">
        <f>IF($A763="","",'Blind Count Entry'!B761)</f>
        <v/>
      </c>
      <c r="C763">
        <f>IF($A763="","",'Blind Count Entry'!C761)</f>
        <v/>
      </c>
      <c r="D763">
        <f>IF($A763="","",'Blind Count Entry'!D761)</f>
        <v/>
      </c>
      <c r="E763">
        <f>IF($A763="","",IFERROR(INDEX('ABC Analysis'!$F:$F,MATCH($C763,'ABC Analysis'!$A:$A,0)),""))</f>
        <v/>
      </c>
      <c r="F763">
        <f>IF($A763="","",IFERROR(INDEX('Master Inventory'!$E:$E,MATCH($C763,'Master Inventory'!$A:$A,0)),0))</f>
        <v/>
      </c>
      <c r="G763">
        <f>IF($A763="","",'Blind Count Entry'!F761)</f>
        <v/>
      </c>
      <c r="H763">
        <f>IF($A763="","",G763-F763)</f>
        <v/>
      </c>
      <c r="I763" s="17">
        <f>IF($A763="","",IF(F763=0,IF(H763=0,0,1),ABS(H763)/F763))</f>
        <v/>
      </c>
      <c r="J763" s="18">
        <f>IF($A763="","",IF($E763="A",$E$1,IF($E763="B",$G$1,$I$1)))</f>
        <v/>
      </c>
      <c r="K763">
        <f>IF($A763="","",IF(H763=0,"MATCH",IF(I763&gt;J763,"RECOUNT","WITHIN TOLERANCE")))</f>
        <v/>
      </c>
      <c r="L763" s="5" t="n"/>
      <c r="M763">
        <f>IF(OR($A763="",$L763=""),"",L763-F763)</f>
        <v/>
      </c>
      <c r="N763" s="5" t="n"/>
      <c r="O763" s="5" t="n"/>
    </row>
    <row r="764">
      <c r="A764">
        <f>IF('Blind Count Entry'!A762="","",'Blind Count Entry'!A762)</f>
        <v/>
      </c>
      <c r="B764" s="16">
        <f>IF($A764="","",'Blind Count Entry'!B762)</f>
        <v/>
      </c>
      <c r="C764">
        <f>IF($A764="","",'Blind Count Entry'!C762)</f>
        <v/>
      </c>
      <c r="D764">
        <f>IF($A764="","",'Blind Count Entry'!D762)</f>
        <v/>
      </c>
      <c r="E764">
        <f>IF($A764="","",IFERROR(INDEX('ABC Analysis'!$F:$F,MATCH($C764,'ABC Analysis'!$A:$A,0)),""))</f>
        <v/>
      </c>
      <c r="F764">
        <f>IF($A764="","",IFERROR(INDEX('Master Inventory'!$E:$E,MATCH($C764,'Master Inventory'!$A:$A,0)),0))</f>
        <v/>
      </c>
      <c r="G764">
        <f>IF($A764="","",'Blind Count Entry'!F762)</f>
        <v/>
      </c>
      <c r="H764">
        <f>IF($A764="","",G764-F764)</f>
        <v/>
      </c>
      <c r="I764" s="17">
        <f>IF($A764="","",IF(F764=0,IF(H764=0,0,1),ABS(H764)/F764))</f>
        <v/>
      </c>
      <c r="J764" s="18">
        <f>IF($A764="","",IF($E764="A",$E$1,IF($E764="B",$G$1,$I$1)))</f>
        <v/>
      </c>
      <c r="K764">
        <f>IF($A764="","",IF(H764=0,"MATCH",IF(I764&gt;J764,"RECOUNT","WITHIN TOLERANCE")))</f>
        <v/>
      </c>
      <c r="L764" s="5" t="n"/>
      <c r="M764">
        <f>IF(OR($A764="",$L764=""),"",L764-F764)</f>
        <v/>
      </c>
      <c r="N764" s="5" t="n"/>
      <c r="O764" s="5" t="n"/>
    </row>
    <row r="765">
      <c r="A765">
        <f>IF('Blind Count Entry'!A763="","",'Blind Count Entry'!A763)</f>
        <v/>
      </c>
      <c r="B765" s="16">
        <f>IF($A765="","",'Blind Count Entry'!B763)</f>
        <v/>
      </c>
      <c r="C765">
        <f>IF($A765="","",'Blind Count Entry'!C763)</f>
        <v/>
      </c>
      <c r="D765">
        <f>IF($A765="","",'Blind Count Entry'!D763)</f>
        <v/>
      </c>
      <c r="E765">
        <f>IF($A765="","",IFERROR(INDEX('ABC Analysis'!$F:$F,MATCH($C765,'ABC Analysis'!$A:$A,0)),""))</f>
        <v/>
      </c>
      <c r="F765">
        <f>IF($A765="","",IFERROR(INDEX('Master Inventory'!$E:$E,MATCH($C765,'Master Inventory'!$A:$A,0)),0))</f>
        <v/>
      </c>
      <c r="G765">
        <f>IF($A765="","",'Blind Count Entry'!F763)</f>
        <v/>
      </c>
      <c r="H765">
        <f>IF($A765="","",G765-F765)</f>
        <v/>
      </c>
      <c r="I765" s="17">
        <f>IF($A765="","",IF(F765=0,IF(H765=0,0,1),ABS(H765)/F765))</f>
        <v/>
      </c>
      <c r="J765" s="18">
        <f>IF($A765="","",IF($E765="A",$E$1,IF($E765="B",$G$1,$I$1)))</f>
        <v/>
      </c>
      <c r="K765">
        <f>IF($A765="","",IF(H765=0,"MATCH",IF(I765&gt;J765,"RECOUNT","WITHIN TOLERANCE")))</f>
        <v/>
      </c>
      <c r="L765" s="5" t="n"/>
      <c r="M765">
        <f>IF(OR($A765="",$L765=""),"",L765-F765)</f>
        <v/>
      </c>
      <c r="N765" s="5" t="n"/>
      <c r="O765" s="5" t="n"/>
    </row>
    <row r="766">
      <c r="A766">
        <f>IF('Blind Count Entry'!A764="","",'Blind Count Entry'!A764)</f>
        <v/>
      </c>
      <c r="B766" s="16">
        <f>IF($A766="","",'Blind Count Entry'!B764)</f>
        <v/>
      </c>
      <c r="C766">
        <f>IF($A766="","",'Blind Count Entry'!C764)</f>
        <v/>
      </c>
      <c r="D766">
        <f>IF($A766="","",'Blind Count Entry'!D764)</f>
        <v/>
      </c>
      <c r="E766">
        <f>IF($A766="","",IFERROR(INDEX('ABC Analysis'!$F:$F,MATCH($C766,'ABC Analysis'!$A:$A,0)),""))</f>
        <v/>
      </c>
      <c r="F766">
        <f>IF($A766="","",IFERROR(INDEX('Master Inventory'!$E:$E,MATCH($C766,'Master Inventory'!$A:$A,0)),0))</f>
        <v/>
      </c>
      <c r="G766">
        <f>IF($A766="","",'Blind Count Entry'!F764)</f>
        <v/>
      </c>
      <c r="H766">
        <f>IF($A766="","",G766-F766)</f>
        <v/>
      </c>
      <c r="I766" s="17">
        <f>IF($A766="","",IF(F766=0,IF(H766=0,0,1),ABS(H766)/F766))</f>
        <v/>
      </c>
      <c r="J766" s="18">
        <f>IF($A766="","",IF($E766="A",$E$1,IF($E766="B",$G$1,$I$1)))</f>
        <v/>
      </c>
      <c r="K766">
        <f>IF($A766="","",IF(H766=0,"MATCH",IF(I766&gt;J766,"RECOUNT","WITHIN TOLERANCE")))</f>
        <v/>
      </c>
      <c r="L766" s="5" t="n"/>
      <c r="M766">
        <f>IF(OR($A766="",$L766=""),"",L766-F766)</f>
        <v/>
      </c>
      <c r="N766" s="5" t="n"/>
      <c r="O766" s="5" t="n"/>
    </row>
    <row r="767">
      <c r="A767">
        <f>IF('Blind Count Entry'!A765="","",'Blind Count Entry'!A765)</f>
        <v/>
      </c>
      <c r="B767" s="16">
        <f>IF($A767="","",'Blind Count Entry'!B765)</f>
        <v/>
      </c>
      <c r="C767">
        <f>IF($A767="","",'Blind Count Entry'!C765)</f>
        <v/>
      </c>
      <c r="D767">
        <f>IF($A767="","",'Blind Count Entry'!D765)</f>
        <v/>
      </c>
      <c r="E767">
        <f>IF($A767="","",IFERROR(INDEX('ABC Analysis'!$F:$F,MATCH($C767,'ABC Analysis'!$A:$A,0)),""))</f>
        <v/>
      </c>
      <c r="F767">
        <f>IF($A767="","",IFERROR(INDEX('Master Inventory'!$E:$E,MATCH($C767,'Master Inventory'!$A:$A,0)),0))</f>
        <v/>
      </c>
      <c r="G767">
        <f>IF($A767="","",'Blind Count Entry'!F765)</f>
        <v/>
      </c>
      <c r="H767">
        <f>IF($A767="","",G767-F767)</f>
        <v/>
      </c>
      <c r="I767" s="17">
        <f>IF($A767="","",IF(F767=0,IF(H767=0,0,1),ABS(H767)/F767))</f>
        <v/>
      </c>
      <c r="J767" s="18">
        <f>IF($A767="","",IF($E767="A",$E$1,IF($E767="B",$G$1,$I$1)))</f>
        <v/>
      </c>
      <c r="K767">
        <f>IF($A767="","",IF(H767=0,"MATCH",IF(I767&gt;J767,"RECOUNT","WITHIN TOLERANCE")))</f>
        <v/>
      </c>
      <c r="L767" s="5" t="n"/>
      <c r="M767">
        <f>IF(OR($A767="",$L767=""),"",L767-F767)</f>
        <v/>
      </c>
      <c r="N767" s="5" t="n"/>
      <c r="O767" s="5" t="n"/>
    </row>
    <row r="768">
      <c r="A768">
        <f>IF('Blind Count Entry'!A766="","",'Blind Count Entry'!A766)</f>
        <v/>
      </c>
      <c r="B768" s="16">
        <f>IF($A768="","",'Blind Count Entry'!B766)</f>
        <v/>
      </c>
      <c r="C768">
        <f>IF($A768="","",'Blind Count Entry'!C766)</f>
        <v/>
      </c>
      <c r="D768">
        <f>IF($A768="","",'Blind Count Entry'!D766)</f>
        <v/>
      </c>
      <c r="E768">
        <f>IF($A768="","",IFERROR(INDEX('ABC Analysis'!$F:$F,MATCH($C768,'ABC Analysis'!$A:$A,0)),""))</f>
        <v/>
      </c>
      <c r="F768">
        <f>IF($A768="","",IFERROR(INDEX('Master Inventory'!$E:$E,MATCH($C768,'Master Inventory'!$A:$A,0)),0))</f>
        <v/>
      </c>
      <c r="G768">
        <f>IF($A768="","",'Blind Count Entry'!F766)</f>
        <v/>
      </c>
      <c r="H768">
        <f>IF($A768="","",G768-F768)</f>
        <v/>
      </c>
      <c r="I768" s="17">
        <f>IF($A768="","",IF(F768=0,IF(H768=0,0,1),ABS(H768)/F768))</f>
        <v/>
      </c>
      <c r="J768" s="18">
        <f>IF($A768="","",IF($E768="A",$E$1,IF($E768="B",$G$1,$I$1)))</f>
        <v/>
      </c>
      <c r="K768">
        <f>IF($A768="","",IF(H768=0,"MATCH",IF(I768&gt;J768,"RECOUNT","WITHIN TOLERANCE")))</f>
        <v/>
      </c>
      <c r="L768" s="5" t="n"/>
      <c r="M768">
        <f>IF(OR($A768="",$L768=""),"",L768-F768)</f>
        <v/>
      </c>
      <c r="N768" s="5" t="n"/>
      <c r="O768" s="5" t="n"/>
    </row>
    <row r="769">
      <c r="A769">
        <f>IF('Blind Count Entry'!A767="","",'Blind Count Entry'!A767)</f>
        <v/>
      </c>
      <c r="B769" s="16">
        <f>IF($A769="","",'Blind Count Entry'!B767)</f>
        <v/>
      </c>
      <c r="C769">
        <f>IF($A769="","",'Blind Count Entry'!C767)</f>
        <v/>
      </c>
      <c r="D769">
        <f>IF($A769="","",'Blind Count Entry'!D767)</f>
        <v/>
      </c>
      <c r="E769">
        <f>IF($A769="","",IFERROR(INDEX('ABC Analysis'!$F:$F,MATCH($C769,'ABC Analysis'!$A:$A,0)),""))</f>
        <v/>
      </c>
      <c r="F769">
        <f>IF($A769="","",IFERROR(INDEX('Master Inventory'!$E:$E,MATCH($C769,'Master Inventory'!$A:$A,0)),0))</f>
        <v/>
      </c>
      <c r="G769">
        <f>IF($A769="","",'Blind Count Entry'!F767)</f>
        <v/>
      </c>
      <c r="H769">
        <f>IF($A769="","",G769-F769)</f>
        <v/>
      </c>
      <c r="I769" s="17">
        <f>IF($A769="","",IF(F769=0,IF(H769=0,0,1),ABS(H769)/F769))</f>
        <v/>
      </c>
      <c r="J769" s="18">
        <f>IF($A769="","",IF($E769="A",$E$1,IF($E769="B",$G$1,$I$1)))</f>
        <v/>
      </c>
      <c r="K769">
        <f>IF($A769="","",IF(H769=0,"MATCH",IF(I769&gt;J769,"RECOUNT","WITHIN TOLERANCE")))</f>
        <v/>
      </c>
      <c r="L769" s="5" t="n"/>
      <c r="M769">
        <f>IF(OR($A769="",$L769=""),"",L769-F769)</f>
        <v/>
      </c>
      <c r="N769" s="5" t="n"/>
      <c r="O769" s="5" t="n"/>
    </row>
    <row r="770">
      <c r="A770">
        <f>IF('Blind Count Entry'!A768="","",'Blind Count Entry'!A768)</f>
        <v/>
      </c>
      <c r="B770" s="16">
        <f>IF($A770="","",'Blind Count Entry'!B768)</f>
        <v/>
      </c>
      <c r="C770">
        <f>IF($A770="","",'Blind Count Entry'!C768)</f>
        <v/>
      </c>
      <c r="D770">
        <f>IF($A770="","",'Blind Count Entry'!D768)</f>
        <v/>
      </c>
      <c r="E770">
        <f>IF($A770="","",IFERROR(INDEX('ABC Analysis'!$F:$F,MATCH($C770,'ABC Analysis'!$A:$A,0)),""))</f>
        <v/>
      </c>
      <c r="F770">
        <f>IF($A770="","",IFERROR(INDEX('Master Inventory'!$E:$E,MATCH($C770,'Master Inventory'!$A:$A,0)),0))</f>
        <v/>
      </c>
      <c r="G770">
        <f>IF($A770="","",'Blind Count Entry'!F768)</f>
        <v/>
      </c>
      <c r="H770">
        <f>IF($A770="","",G770-F770)</f>
        <v/>
      </c>
      <c r="I770" s="17">
        <f>IF($A770="","",IF(F770=0,IF(H770=0,0,1),ABS(H770)/F770))</f>
        <v/>
      </c>
      <c r="J770" s="18">
        <f>IF($A770="","",IF($E770="A",$E$1,IF($E770="B",$G$1,$I$1)))</f>
        <v/>
      </c>
      <c r="K770">
        <f>IF($A770="","",IF(H770=0,"MATCH",IF(I770&gt;J770,"RECOUNT","WITHIN TOLERANCE")))</f>
        <v/>
      </c>
      <c r="L770" s="5" t="n"/>
      <c r="M770">
        <f>IF(OR($A770="",$L770=""),"",L770-F770)</f>
        <v/>
      </c>
      <c r="N770" s="5" t="n"/>
      <c r="O770" s="5" t="n"/>
    </row>
    <row r="771">
      <c r="A771">
        <f>IF('Blind Count Entry'!A769="","",'Blind Count Entry'!A769)</f>
        <v/>
      </c>
      <c r="B771" s="16">
        <f>IF($A771="","",'Blind Count Entry'!B769)</f>
        <v/>
      </c>
      <c r="C771">
        <f>IF($A771="","",'Blind Count Entry'!C769)</f>
        <v/>
      </c>
      <c r="D771">
        <f>IF($A771="","",'Blind Count Entry'!D769)</f>
        <v/>
      </c>
      <c r="E771">
        <f>IF($A771="","",IFERROR(INDEX('ABC Analysis'!$F:$F,MATCH($C771,'ABC Analysis'!$A:$A,0)),""))</f>
        <v/>
      </c>
      <c r="F771">
        <f>IF($A771="","",IFERROR(INDEX('Master Inventory'!$E:$E,MATCH($C771,'Master Inventory'!$A:$A,0)),0))</f>
        <v/>
      </c>
      <c r="G771">
        <f>IF($A771="","",'Blind Count Entry'!F769)</f>
        <v/>
      </c>
      <c r="H771">
        <f>IF($A771="","",G771-F771)</f>
        <v/>
      </c>
      <c r="I771" s="17">
        <f>IF($A771="","",IF(F771=0,IF(H771=0,0,1),ABS(H771)/F771))</f>
        <v/>
      </c>
      <c r="J771" s="18">
        <f>IF($A771="","",IF($E771="A",$E$1,IF($E771="B",$G$1,$I$1)))</f>
        <v/>
      </c>
      <c r="K771">
        <f>IF($A771="","",IF(H771=0,"MATCH",IF(I771&gt;J771,"RECOUNT","WITHIN TOLERANCE")))</f>
        <v/>
      </c>
      <c r="L771" s="5" t="n"/>
      <c r="M771">
        <f>IF(OR($A771="",$L771=""),"",L771-F771)</f>
        <v/>
      </c>
      <c r="N771" s="5" t="n"/>
      <c r="O771" s="5" t="n"/>
    </row>
    <row r="772">
      <c r="A772">
        <f>IF('Blind Count Entry'!A770="","",'Blind Count Entry'!A770)</f>
        <v/>
      </c>
      <c r="B772" s="16">
        <f>IF($A772="","",'Blind Count Entry'!B770)</f>
        <v/>
      </c>
      <c r="C772">
        <f>IF($A772="","",'Blind Count Entry'!C770)</f>
        <v/>
      </c>
      <c r="D772">
        <f>IF($A772="","",'Blind Count Entry'!D770)</f>
        <v/>
      </c>
      <c r="E772">
        <f>IF($A772="","",IFERROR(INDEX('ABC Analysis'!$F:$F,MATCH($C772,'ABC Analysis'!$A:$A,0)),""))</f>
        <v/>
      </c>
      <c r="F772">
        <f>IF($A772="","",IFERROR(INDEX('Master Inventory'!$E:$E,MATCH($C772,'Master Inventory'!$A:$A,0)),0))</f>
        <v/>
      </c>
      <c r="G772">
        <f>IF($A772="","",'Blind Count Entry'!F770)</f>
        <v/>
      </c>
      <c r="H772">
        <f>IF($A772="","",G772-F772)</f>
        <v/>
      </c>
      <c r="I772" s="17">
        <f>IF($A772="","",IF(F772=0,IF(H772=0,0,1),ABS(H772)/F772))</f>
        <v/>
      </c>
      <c r="J772" s="18">
        <f>IF($A772="","",IF($E772="A",$E$1,IF($E772="B",$G$1,$I$1)))</f>
        <v/>
      </c>
      <c r="K772">
        <f>IF($A772="","",IF(H772=0,"MATCH",IF(I772&gt;J772,"RECOUNT","WITHIN TOLERANCE")))</f>
        <v/>
      </c>
      <c r="L772" s="5" t="n"/>
      <c r="M772">
        <f>IF(OR($A772="",$L772=""),"",L772-F772)</f>
        <v/>
      </c>
      <c r="N772" s="5" t="n"/>
      <c r="O772" s="5" t="n"/>
    </row>
    <row r="773">
      <c r="A773">
        <f>IF('Blind Count Entry'!A771="","",'Blind Count Entry'!A771)</f>
        <v/>
      </c>
      <c r="B773" s="16">
        <f>IF($A773="","",'Blind Count Entry'!B771)</f>
        <v/>
      </c>
      <c r="C773">
        <f>IF($A773="","",'Blind Count Entry'!C771)</f>
        <v/>
      </c>
      <c r="D773">
        <f>IF($A773="","",'Blind Count Entry'!D771)</f>
        <v/>
      </c>
      <c r="E773">
        <f>IF($A773="","",IFERROR(INDEX('ABC Analysis'!$F:$F,MATCH($C773,'ABC Analysis'!$A:$A,0)),""))</f>
        <v/>
      </c>
      <c r="F773">
        <f>IF($A773="","",IFERROR(INDEX('Master Inventory'!$E:$E,MATCH($C773,'Master Inventory'!$A:$A,0)),0))</f>
        <v/>
      </c>
      <c r="G773">
        <f>IF($A773="","",'Blind Count Entry'!F771)</f>
        <v/>
      </c>
      <c r="H773">
        <f>IF($A773="","",G773-F773)</f>
        <v/>
      </c>
      <c r="I773" s="17">
        <f>IF($A773="","",IF(F773=0,IF(H773=0,0,1),ABS(H773)/F773))</f>
        <v/>
      </c>
      <c r="J773" s="18">
        <f>IF($A773="","",IF($E773="A",$E$1,IF($E773="B",$G$1,$I$1)))</f>
        <v/>
      </c>
      <c r="K773">
        <f>IF($A773="","",IF(H773=0,"MATCH",IF(I773&gt;J773,"RECOUNT","WITHIN TOLERANCE")))</f>
        <v/>
      </c>
      <c r="L773" s="5" t="n"/>
      <c r="M773">
        <f>IF(OR($A773="",$L773=""),"",L773-F773)</f>
        <v/>
      </c>
      <c r="N773" s="5" t="n"/>
      <c r="O773" s="5" t="n"/>
    </row>
    <row r="774">
      <c r="A774">
        <f>IF('Blind Count Entry'!A772="","",'Blind Count Entry'!A772)</f>
        <v/>
      </c>
      <c r="B774" s="16">
        <f>IF($A774="","",'Blind Count Entry'!B772)</f>
        <v/>
      </c>
      <c r="C774">
        <f>IF($A774="","",'Blind Count Entry'!C772)</f>
        <v/>
      </c>
      <c r="D774">
        <f>IF($A774="","",'Blind Count Entry'!D772)</f>
        <v/>
      </c>
      <c r="E774">
        <f>IF($A774="","",IFERROR(INDEX('ABC Analysis'!$F:$F,MATCH($C774,'ABC Analysis'!$A:$A,0)),""))</f>
        <v/>
      </c>
      <c r="F774">
        <f>IF($A774="","",IFERROR(INDEX('Master Inventory'!$E:$E,MATCH($C774,'Master Inventory'!$A:$A,0)),0))</f>
        <v/>
      </c>
      <c r="G774">
        <f>IF($A774="","",'Blind Count Entry'!F772)</f>
        <v/>
      </c>
      <c r="H774">
        <f>IF($A774="","",G774-F774)</f>
        <v/>
      </c>
      <c r="I774" s="17">
        <f>IF($A774="","",IF(F774=0,IF(H774=0,0,1),ABS(H774)/F774))</f>
        <v/>
      </c>
      <c r="J774" s="18">
        <f>IF($A774="","",IF($E774="A",$E$1,IF($E774="B",$G$1,$I$1)))</f>
        <v/>
      </c>
      <c r="K774">
        <f>IF($A774="","",IF(H774=0,"MATCH",IF(I774&gt;J774,"RECOUNT","WITHIN TOLERANCE")))</f>
        <v/>
      </c>
      <c r="L774" s="5" t="n"/>
      <c r="M774">
        <f>IF(OR($A774="",$L774=""),"",L774-F774)</f>
        <v/>
      </c>
      <c r="N774" s="5" t="n"/>
      <c r="O774" s="5" t="n"/>
    </row>
    <row r="775">
      <c r="A775">
        <f>IF('Blind Count Entry'!A773="","",'Blind Count Entry'!A773)</f>
        <v/>
      </c>
      <c r="B775" s="16">
        <f>IF($A775="","",'Blind Count Entry'!B773)</f>
        <v/>
      </c>
      <c r="C775">
        <f>IF($A775="","",'Blind Count Entry'!C773)</f>
        <v/>
      </c>
      <c r="D775">
        <f>IF($A775="","",'Blind Count Entry'!D773)</f>
        <v/>
      </c>
      <c r="E775">
        <f>IF($A775="","",IFERROR(INDEX('ABC Analysis'!$F:$F,MATCH($C775,'ABC Analysis'!$A:$A,0)),""))</f>
        <v/>
      </c>
      <c r="F775">
        <f>IF($A775="","",IFERROR(INDEX('Master Inventory'!$E:$E,MATCH($C775,'Master Inventory'!$A:$A,0)),0))</f>
        <v/>
      </c>
      <c r="G775">
        <f>IF($A775="","",'Blind Count Entry'!F773)</f>
        <v/>
      </c>
      <c r="H775">
        <f>IF($A775="","",G775-F775)</f>
        <v/>
      </c>
      <c r="I775" s="17">
        <f>IF($A775="","",IF(F775=0,IF(H775=0,0,1),ABS(H775)/F775))</f>
        <v/>
      </c>
      <c r="J775" s="18">
        <f>IF($A775="","",IF($E775="A",$E$1,IF($E775="B",$G$1,$I$1)))</f>
        <v/>
      </c>
      <c r="K775">
        <f>IF($A775="","",IF(H775=0,"MATCH",IF(I775&gt;J775,"RECOUNT","WITHIN TOLERANCE")))</f>
        <v/>
      </c>
      <c r="L775" s="5" t="n"/>
      <c r="M775">
        <f>IF(OR($A775="",$L775=""),"",L775-F775)</f>
        <v/>
      </c>
      <c r="N775" s="5" t="n"/>
      <c r="O775" s="5" t="n"/>
    </row>
    <row r="776">
      <c r="A776">
        <f>IF('Blind Count Entry'!A774="","",'Blind Count Entry'!A774)</f>
        <v/>
      </c>
      <c r="B776" s="16">
        <f>IF($A776="","",'Blind Count Entry'!B774)</f>
        <v/>
      </c>
      <c r="C776">
        <f>IF($A776="","",'Blind Count Entry'!C774)</f>
        <v/>
      </c>
      <c r="D776">
        <f>IF($A776="","",'Blind Count Entry'!D774)</f>
        <v/>
      </c>
      <c r="E776">
        <f>IF($A776="","",IFERROR(INDEX('ABC Analysis'!$F:$F,MATCH($C776,'ABC Analysis'!$A:$A,0)),""))</f>
        <v/>
      </c>
      <c r="F776">
        <f>IF($A776="","",IFERROR(INDEX('Master Inventory'!$E:$E,MATCH($C776,'Master Inventory'!$A:$A,0)),0))</f>
        <v/>
      </c>
      <c r="G776">
        <f>IF($A776="","",'Blind Count Entry'!F774)</f>
        <v/>
      </c>
      <c r="H776">
        <f>IF($A776="","",G776-F776)</f>
        <v/>
      </c>
      <c r="I776" s="17">
        <f>IF($A776="","",IF(F776=0,IF(H776=0,0,1),ABS(H776)/F776))</f>
        <v/>
      </c>
      <c r="J776" s="18">
        <f>IF($A776="","",IF($E776="A",$E$1,IF($E776="B",$G$1,$I$1)))</f>
        <v/>
      </c>
      <c r="K776">
        <f>IF($A776="","",IF(H776=0,"MATCH",IF(I776&gt;J776,"RECOUNT","WITHIN TOLERANCE")))</f>
        <v/>
      </c>
      <c r="L776" s="5" t="n"/>
      <c r="M776">
        <f>IF(OR($A776="",$L776=""),"",L776-F776)</f>
        <v/>
      </c>
      <c r="N776" s="5" t="n"/>
      <c r="O776" s="5" t="n"/>
    </row>
    <row r="777">
      <c r="A777">
        <f>IF('Blind Count Entry'!A775="","",'Blind Count Entry'!A775)</f>
        <v/>
      </c>
      <c r="B777" s="16">
        <f>IF($A777="","",'Blind Count Entry'!B775)</f>
        <v/>
      </c>
      <c r="C777">
        <f>IF($A777="","",'Blind Count Entry'!C775)</f>
        <v/>
      </c>
      <c r="D777">
        <f>IF($A777="","",'Blind Count Entry'!D775)</f>
        <v/>
      </c>
      <c r="E777">
        <f>IF($A777="","",IFERROR(INDEX('ABC Analysis'!$F:$F,MATCH($C777,'ABC Analysis'!$A:$A,0)),""))</f>
        <v/>
      </c>
      <c r="F777">
        <f>IF($A777="","",IFERROR(INDEX('Master Inventory'!$E:$E,MATCH($C777,'Master Inventory'!$A:$A,0)),0))</f>
        <v/>
      </c>
      <c r="G777">
        <f>IF($A777="","",'Blind Count Entry'!F775)</f>
        <v/>
      </c>
      <c r="H777">
        <f>IF($A777="","",G777-F777)</f>
        <v/>
      </c>
      <c r="I777" s="17">
        <f>IF($A777="","",IF(F777=0,IF(H777=0,0,1),ABS(H777)/F777))</f>
        <v/>
      </c>
      <c r="J777" s="18">
        <f>IF($A777="","",IF($E777="A",$E$1,IF($E777="B",$G$1,$I$1)))</f>
        <v/>
      </c>
      <c r="K777">
        <f>IF($A777="","",IF(H777=0,"MATCH",IF(I777&gt;J777,"RECOUNT","WITHIN TOLERANCE")))</f>
        <v/>
      </c>
      <c r="L777" s="5" t="n"/>
      <c r="M777">
        <f>IF(OR($A777="",$L777=""),"",L777-F777)</f>
        <v/>
      </c>
      <c r="N777" s="5" t="n"/>
      <c r="O777" s="5" t="n"/>
    </row>
    <row r="778">
      <c r="A778">
        <f>IF('Blind Count Entry'!A776="","",'Blind Count Entry'!A776)</f>
        <v/>
      </c>
      <c r="B778" s="16">
        <f>IF($A778="","",'Blind Count Entry'!B776)</f>
        <v/>
      </c>
      <c r="C778">
        <f>IF($A778="","",'Blind Count Entry'!C776)</f>
        <v/>
      </c>
      <c r="D778">
        <f>IF($A778="","",'Blind Count Entry'!D776)</f>
        <v/>
      </c>
      <c r="E778">
        <f>IF($A778="","",IFERROR(INDEX('ABC Analysis'!$F:$F,MATCH($C778,'ABC Analysis'!$A:$A,0)),""))</f>
        <v/>
      </c>
      <c r="F778">
        <f>IF($A778="","",IFERROR(INDEX('Master Inventory'!$E:$E,MATCH($C778,'Master Inventory'!$A:$A,0)),0))</f>
        <v/>
      </c>
      <c r="G778">
        <f>IF($A778="","",'Blind Count Entry'!F776)</f>
        <v/>
      </c>
      <c r="H778">
        <f>IF($A778="","",G778-F778)</f>
        <v/>
      </c>
      <c r="I778" s="17">
        <f>IF($A778="","",IF(F778=0,IF(H778=0,0,1),ABS(H778)/F778))</f>
        <v/>
      </c>
      <c r="J778" s="18">
        <f>IF($A778="","",IF($E778="A",$E$1,IF($E778="B",$G$1,$I$1)))</f>
        <v/>
      </c>
      <c r="K778">
        <f>IF($A778="","",IF(H778=0,"MATCH",IF(I778&gt;J778,"RECOUNT","WITHIN TOLERANCE")))</f>
        <v/>
      </c>
      <c r="L778" s="5" t="n"/>
      <c r="M778">
        <f>IF(OR($A778="",$L778=""),"",L778-F778)</f>
        <v/>
      </c>
      <c r="N778" s="5" t="n"/>
      <c r="O778" s="5" t="n"/>
    </row>
    <row r="779">
      <c r="A779">
        <f>IF('Blind Count Entry'!A777="","",'Blind Count Entry'!A777)</f>
        <v/>
      </c>
      <c r="B779" s="16">
        <f>IF($A779="","",'Blind Count Entry'!B777)</f>
        <v/>
      </c>
      <c r="C779">
        <f>IF($A779="","",'Blind Count Entry'!C777)</f>
        <v/>
      </c>
      <c r="D779">
        <f>IF($A779="","",'Blind Count Entry'!D777)</f>
        <v/>
      </c>
      <c r="E779">
        <f>IF($A779="","",IFERROR(INDEX('ABC Analysis'!$F:$F,MATCH($C779,'ABC Analysis'!$A:$A,0)),""))</f>
        <v/>
      </c>
      <c r="F779">
        <f>IF($A779="","",IFERROR(INDEX('Master Inventory'!$E:$E,MATCH($C779,'Master Inventory'!$A:$A,0)),0))</f>
        <v/>
      </c>
      <c r="G779">
        <f>IF($A779="","",'Blind Count Entry'!F777)</f>
        <v/>
      </c>
      <c r="H779">
        <f>IF($A779="","",G779-F779)</f>
        <v/>
      </c>
      <c r="I779" s="17">
        <f>IF($A779="","",IF(F779=0,IF(H779=0,0,1),ABS(H779)/F779))</f>
        <v/>
      </c>
      <c r="J779" s="18">
        <f>IF($A779="","",IF($E779="A",$E$1,IF($E779="B",$G$1,$I$1)))</f>
        <v/>
      </c>
      <c r="K779">
        <f>IF($A779="","",IF(H779=0,"MATCH",IF(I779&gt;J779,"RECOUNT","WITHIN TOLERANCE")))</f>
        <v/>
      </c>
      <c r="L779" s="5" t="n"/>
      <c r="M779">
        <f>IF(OR($A779="",$L779=""),"",L779-F779)</f>
        <v/>
      </c>
      <c r="N779" s="5" t="n"/>
      <c r="O779" s="5" t="n"/>
    </row>
    <row r="780">
      <c r="A780">
        <f>IF('Blind Count Entry'!A778="","",'Blind Count Entry'!A778)</f>
        <v/>
      </c>
      <c r="B780" s="16">
        <f>IF($A780="","",'Blind Count Entry'!B778)</f>
        <v/>
      </c>
      <c r="C780">
        <f>IF($A780="","",'Blind Count Entry'!C778)</f>
        <v/>
      </c>
      <c r="D780">
        <f>IF($A780="","",'Blind Count Entry'!D778)</f>
        <v/>
      </c>
      <c r="E780">
        <f>IF($A780="","",IFERROR(INDEX('ABC Analysis'!$F:$F,MATCH($C780,'ABC Analysis'!$A:$A,0)),""))</f>
        <v/>
      </c>
      <c r="F780">
        <f>IF($A780="","",IFERROR(INDEX('Master Inventory'!$E:$E,MATCH($C780,'Master Inventory'!$A:$A,0)),0))</f>
        <v/>
      </c>
      <c r="G780">
        <f>IF($A780="","",'Blind Count Entry'!F778)</f>
        <v/>
      </c>
      <c r="H780">
        <f>IF($A780="","",G780-F780)</f>
        <v/>
      </c>
      <c r="I780" s="17">
        <f>IF($A780="","",IF(F780=0,IF(H780=0,0,1),ABS(H780)/F780))</f>
        <v/>
      </c>
      <c r="J780" s="18">
        <f>IF($A780="","",IF($E780="A",$E$1,IF($E780="B",$G$1,$I$1)))</f>
        <v/>
      </c>
      <c r="K780">
        <f>IF($A780="","",IF(H780=0,"MATCH",IF(I780&gt;J780,"RECOUNT","WITHIN TOLERANCE")))</f>
        <v/>
      </c>
      <c r="L780" s="5" t="n"/>
      <c r="M780">
        <f>IF(OR($A780="",$L780=""),"",L780-F780)</f>
        <v/>
      </c>
      <c r="N780" s="5" t="n"/>
      <c r="O780" s="5" t="n"/>
    </row>
    <row r="781">
      <c r="A781">
        <f>IF('Blind Count Entry'!A779="","",'Blind Count Entry'!A779)</f>
        <v/>
      </c>
      <c r="B781" s="16">
        <f>IF($A781="","",'Blind Count Entry'!B779)</f>
        <v/>
      </c>
      <c r="C781">
        <f>IF($A781="","",'Blind Count Entry'!C779)</f>
        <v/>
      </c>
      <c r="D781">
        <f>IF($A781="","",'Blind Count Entry'!D779)</f>
        <v/>
      </c>
      <c r="E781">
        <f>IF($A781="","",IFERROR(INDEX('ABC Analysis'!$F:$F,MATCH($C781,'ABC Analysis'!$A:$A,0)),""))</f>
        <v/>
      </c>
      <c r="F781">
        <f>IF($A781="","",IFERROR(INDEX('Master Inventory'!$E:$E,MATCH($C781,'Master Inventory'!$A:$A,0)),0))</f>
        <v/>
      </c>
      <c r="G781">
        <f>IF($A781="","",'Blind Count Entry'!F779)</f>
        <v/>
      </c>
      <c r="H781">
        <f>IF($A781="","",G781-F781)</f>
        <v/>
      </c>
      <c r="I781" s="17">
        <f>IF($A781="","",IF(F781=0,IF(H781=0,0,1),ABS(H781)/F781))</f>
        <v/>
      </c>
      <c r="J781" s="18">
        <f>IF($A781="","",IF($E781="A",$E$1,IF($E781="B",$G$1,$I$1)))</f>
        <v/>
      </c>
      <c r="K781">
        <f>IF($A781="","",IF(H781=0,"MATCH",IF(I781&gt;J781,"RECOUNT","WITHIN TOLERANCE")))</f>
        <v/>
      </c>
      <c r="L781" s="5" t="n"/>
      <c r="M781">
        <f>IF(OR($A781="",$L781=""),"",L781-F781)</f>
        <v/>
      </c>
      <c r="N781" s="5" t="n"/>
      <c r="O781" s="5" t="n"/>
    </row>
    <row r="782">
      <c r="A782">
        <f>IF('Blind Count Entry'!A780="","",'Blind Count Entry'!A780)</f>
        <v/>
      </c>
      <c r="B782" s="16">
        <f>IF($A782="","",'Blind Count Entry'!B780)</f>
        <v/>
      </c>
      <c r="C782">
        <f>IF($A782="","",'Blind Count Entry'!C780)</f>
        <v/>
      </c>
      <c r="D782">
        <f>IF($A782="","",'Blind Count Entry'!D780)</f>
        <v/>
      </c>
      <c r="E782">
        <f>IF($A782="","",IFERROR(INDEX('ABC Analysis'!$F:$F,MATCH($C782,'ABC Analysis'!$A:$A,0)),""))</f>
        <v/>
      </c>
      <c r="F782">
        <f>IF($A782="","",IFERROR(INDEX('Master Inventory'!$E:$E,MATCH($C782,'Master Inventory'!$A:$A,0)),0))</f>
        <v/>
      </c>
      <c r="G782">
        <f>IF($A782="","",'Blind Count Entry'!F780)</f>
        <v/>
      </c>
      <c r="H782">
        <f>IF($A782="","",G782-F782)</f>
        <v/>
      </c>
      <c r="I782" s="17">
        <f>IF($A782="","",IF(F782=0,IF(H782=0,0,1),ABS(H782)/F782))</f>
        <v/>
      </c>
      <c r="J782" s="18">
        <f>IF($A782="","",IF($E782="A",$E$1,IF($E782="B",$G$1,$I$1)))</f>
        <v/>
      </c>
      <c r="K782">
        <f>IF($A782="","",IF(H782=0,"MATCH",IF(I782&gt;J782,"RECOUNT","WITHIN TOLERANCE")))</f>
        <v/>
      </c>
      <c r="L782" s="5" t="n"/>
      <c r="M782">
        <f>IF(OR($A782="",$L782=""),"",L782-F782)</f>
        <v/>
      </c>
      <c r="N782" s="5" t="n"/>
      <c r="O782" s="5" t="n"/>
    </row>
    <row r="783">
      <c r="A783">
        <f>IF('Blind Count Entry'!A781="","",'Blind Count Entry'!A781)</f>
        <v/>
      </c>
      <c r="B783" s="16">
        <f>IF($A783="","",'Blind Count Entry'!B781)</f>
        <v/>
      </c>
      <c r="C783">
        <f>IF($A783="","",'Blind Count Entry'!C781)</f>
        <v/>
      </c>
      <c r="D783">
        <f>IF($A783="","",'Blind Count Entry'!D781)</f>
        <v/>
      </c>
      <c r="E783">
        <f>IF($A783="","",IFERROR(INDEX('ABC Analysis'!$F:$F,MATCH($C783,'ABC Analysis'!$A:$A,0)),""))</f>
        <v/>
      </c>
      <c r="F783">
        <f>IF($A783="","",IFERROR(INDEX('Master Inventory'!$E:$E,MATCH($C783,'Master Inventory'!$A:$A,0)),0))</f>
        <v/>
      </c>
      <c r="G783">
        <f>IF($A783="","",'Blind Count Entry'!F781)</f>
        <v/>
      </c>
      <c r="H783">
        <f>IF($A783="","",G783-F783)</f>
        <v/>
      </c>
      <c r="I783" s="17">
        <f>IF($A783="","",IF(F783=0,IF(H783=0,0,1),ABS(H783)/F783))</f>
        <v/>
      </c>
      <c r="J783" s="18">
        <f>IF($A783="","",IF($E783="A",$E$1,IF($E783="B",$G$1,$I$1)))</f>
        <v/>
      </c>
      <c r="K783">
        <f>IF($A783="","",IF(H783=0,"MATCH",IF(I783&gt;J783,"RECOUNT","WITHIN TOLERANCE")))</f>
        <v/>
      </c>
      <c r="L783" s="5" t="n"/>
      <c r="M783">
        <f>IF(OR($A783="",$L783=""),"",L783-F783)</f>
        <v/>
      </c>
      <c r="N783" s="5" t="n"/>
      <c r="O783" s="5" t="n"/>
    </row>
    <row r="784">
      <c r="A784">
        <f>IF('Blind Count Entry'!A782="","",'Blind Count Entry'!A782)</f>
        <v/>
      </c>
      <c r="B784" s="16">
        <f>IF($A784="","",'Blind Count Entry'!B782)</f>
        <v/>
      </c>
      <c r="C784">
        <f>IF($A784="","",'Blind Count Entry'!C782)</f>
        <v/>
      </c>
      <c r="D784">
        <f>IF($A784="","",'Blind Count Entry'!D782)</f>
        <v/>
      </c>
      <c r="E784">
        <f>IF($A784="","",IFERROR(INDEX('ABC Analysis'!$F:$F,MATCH($C784,'ABC Analysis'!$A:$A,0)),""))</f>
        <v/>
      </c>
      <c r="F784">
        <f>IF($A784="","",IFERROR(INDEX('Master Inventory'!$E:$E,MATCH($C784,'Master Inventory'!$A:$A,0)),0))</f>
        <v/>
      </c>
      <c r="G784">
        <f>IF($A784="","",'Blind Count Entry'!F782)</f>
        <v/>
      </c>
      <c r="H784">
        <f>IF($A784="","",G784-F784)</f>
        <v/>
      </c>
      <c r="I784" s="17">
        <f>IF($A784="","",IF(F784=0,IF(H784=0,0,1),ABS(H784)/F784))</f>
        <v/>
      </c>
      <c r="J784" s="18">
        <f>IF($A784="","",IF($E784="A",$E$1,IF($E784="B",$G$1,$I$1)))</f>
        <v/>
      </c>
      <c r="K784">
        <f>IF($A784="","",IF(H784=0,"MATCH",IF(I784&gt;J784,"RECOUNT","WITHIN TOLERANCE")))</f>
        <v/>
      </c>
      <c r="L784" s="5" t="n"/>
      <c r="M784">
        <f>IF(OR($A784="",$L784=""),"",L784-F784)</f>
        <v/>
      </c>
      <c r="N784" s="5" t="n"/>
      <c r="O784" s="5" t="n"/>
    </row>
    <row r="785">
      <c r="A785">
        <f>IF('Blind Count Entry'!A783="","",'Blind Count Entry'!A783)</f>
        <v/>
      </c>
      <c r="B785" s="16">
        <f>IF($A785="","",'Blind Count Entry'!B783)</f>
        <v/>
      </c>
      <c r="C785">
        <f>IF($A785="","",'Blind Count Entry'!C783)</f>
        <v/>
      </c>
      <c r="D785">
        <f>IF($A785="","",'Blind Count Entry'!D783)</f>
        <v/>
      </c>
      <c r="E785">
        <f>IF($A785="","",IFERROR(INDEX('ABC Analysis'!$F:$F,MATCH($C785,'ABC Analysis'!$A:$A,0)),""))</f>
        <v/>
      </c>
      <c r="F785">
        <f>IF($A785="","",IFERROR(INDEX('Master Inventory'!$E:$E,MATCH($C785,'Master Inventory'!$A:$A,0)),0))</f>
        <v/>
      </c>
      <c r="G785">
        <f>IF($A785="","",'Blind Count Entry'!F783)</f>
        <v/>
      </c>
      <c r="H785">
        <f>IF($A785="","",G785-F785)</f>
        <v/>
      </c>
      <c r="I785" s="17">
        <f>IF($A785="","",IF(F785=0,IF(H785=0,0,1),ABS(H785)/F785))</f>
        <v/>
      </c>
      <c r="J785" s="18">
        <f>IF($A785="","",IF($E785="A",$E$1,IF($E785="B",$G$1,$I$1)))</f>
        <v/>
      </c>
      <c r="K785">
        <f>IF($A785="","",IF(H785=0,"MATCH",IF(I785&gt;J785,"RECOUNT","WITHIN TOLERANCE")))</f>
        <v/>
      </c>
      <c r="L785" s="5" t="n"/>
      <c r="M785">
        <f>IF(OR($A785="",$L785=""),"",L785-F785)</f>
        <v/>
      </c>
      <c r="N785" s="5" t="n"/>
      <c r="O785" s="5" t="n"/>
    </row>
    <row r="786">
      <c r="A786">
        <f>IF('Blind Count Entry'!A784="","",'Blind Count Entry'!A784)</f>
        <v/>
      </c>
      <c r="B786" s="16">
        <f>IF($A786="","",'Blind Count Entry'!B784)</f>
        <v/>
      </c>
      <c r="C786">
        <f>IF($A786="","",'Blind Count Entry'!C784)</f>
        <v/>
      </c>
      <c r="D786">
        <f>IF($A786="","",'Blind Count Entry'!D784)</f>
        <v/>
      </c>
      <c r="E786">
        <f>IF($A786="","",IFERROR(INDEX('ABC Analysis'!$F:$F,MATCH($C786,'ABC Analysis'!$A:$A,0)),""))</f>
        <v/>
      </c>
      <c r="F786">
        <f>IF($A786="","",IFERROR(INDEX('Master Inventory'!$E:$E,MATCH($C786,'Master Inventory'!$A:$A,0)),0))</f>
        <v/>
      </c>
      <c r="G786">
        <f>IF($A786="","",'Blind Count Entry'!F784)</f>
        <v/>
      </c>
      <c r="H786">
        <f>IF($A786="","",G786-F786)</f>
        <v/>
      </c>
      <c r="I786" s="17">
        <f>IF($A786="","",IF(F786=0,IF(H786=0,0,1),ABS(H786)/F786))</f>
        <v/>
      </c>
      <c r="J786" s="18">
        <f>IF($A786="","",IF($E786="A",$E$1,IF($E786="B",$G$1,$I$1)))</f>
        <v/>
      </c>
      <c r="K786">
        <f>IF($A786="","",IF(H786=0,"MATCH",IF(I786&gt;J786,"RECOUNT","WITHIN TOLERANCE")))</f>
        <v/>
      </c>
      <c r="L786" s="5" t="n"/>
      <c r="M786">
        <f>IF(OR($A786="",$L786=""),"",L786-F786)</f>
        <v/>
      </c>
      <c r="N786" s="5" t="n"/>
      <c r="O786" s="5" t="n"/>
    </row>
    <row r="787">
      <c r="A787">
        <f>IF('Blind Count Entry'!A785="","",'Blind Count Entry'!A785)</f>
        <v/>
      </c>
      <c r="B787" s="16">
        <f>IF($A787="","",'Blind Count Entry'!B785)</f>
        <v/>
      </c>
      <c r="C787">
        <f>IF($A787="","",'Blind Count Entry'!C785)</f>
        <v/>
      </c>
      <c r="D787">
        <f>IF($A787="","",'Blind Count Entry'!D785)</f>
        <v/>
      </c>
      <c r="E787">
        <f>IF($A787="","",IFERROR(INDEX('ABC Analysis'!$F:$F,MATCH($C787,'ABC Analysis'!$A:$A,0)),""))</f>
        <v/>
      </c>
      <c r="F787">
        <f>IF($A787="","",IFERROR(INDEX('Master Inventory'!$E:$E,MATCH($C787,'Master Inventory'!$A:$A,0)),0))</f>
        <v/>
      </c>
      <c r="G787">
        <f>IF($A787="","",'Blind Count Entry'!F785)</f>
        <v/>
      </c>
      <c r="H787">
        <f>IF($A787="","",G787-F787)</f>
        <v/>
      </c>
      <c r="I787" s="17">
        <f>IF($A787="","",IF(F787=0,IF(H787=0,0,1),ABS(H787)/F787))</f>
        <v/>
      </c>
      <c r="J787" s="18">
        <f>IF($A787="","",IF($E787="A",$E$1,IF($E787="B",$G$1,$I$1)))</f>
        <v/>
      </c>
      <c r="K787">
        <f>IF($A787="","",IF(H787=0,"MATCH",IF(I787&gt;J787,"RECOUNT","WITHIN TOLERANCE")))</f>
        <v/>
      </c>
      <c r="L787" s="5" t="n"/>
      <c r="M787">
        <f>IF(OR($A787="",$L787=""),"",L787-F787)</f>
        <v/>
      </c>
      <c r="N787" s="5" t="n"/>
      <c r="O787" s="5" t="n"/>
    </row>
    <row r="788">
      <c r="A788">
        <f>IF('Blind Count Entry'!A786="","",'Blind Count Entry'!A786)</f>
        <v/>
      </c>
      <c r="B788" s="16">
        <f>IF($A788="","",'Blind Count Entry'!B786)</f>
        <v/>
      </c>
      <c r="C788">
        <f>IF($A788="","",'Blind Count Entry'!C786)</f>
        <v/>
      </c>
      <c r="D788">
        <f>IF($A788="","",'Blind Count Entry'!D786)</f>
        <v/>
      </c>
      <c r="E788">
        <f>IF($A788="","",IFERROR(INDEX('ABC Analysis'!$F:$F,MATCH($C788,'ABC Analysis'!$A:$A,0)),""))</f>
        <v/>
      </c>
      <c r="F788">
        <f>IF($A788="","",IFERROR(INDEX('Master Inventory'!$E:$E,MATCH($C788,'Master Inventory'!$A:$A,0)),0))</f>
        <v/>
      </c>
      <c r="G788">
        <f>IF($A788="","",'Blind Count Entry'!F786)</f>
        <v/>
      </c>
      <c r="H788">
        <f>IF($A788="","",G788-F788)</f>
        <v/>
      </c>
      <c r="I788" s="17">
        <f>IF($A788="","",IF(F788=0,IF(H788=0,0,1),ABS(H788)/F788))</f>
        <v/>
      </c>
      <c r="J788" s="18">
        <f>IF($A788="","",IF($E788="A",$E$1,IF($E788="B",$G$1,$I$1)))</f>
        <v/>
      </c>
      <c r="K788">
        <f>IF($A788="","",IF(H788=0,"MATCH",IF(I788&gt;J788,"RECOUNT","WITHIN TOLERANCE")))</f>
        <v/>
      </c>
      <c r="L788" s="5" t="n"/>
      <c r="M788">
        <f>IF(OR($A788="",$L788=""),"",L788-F788)</f>
        <v/>
      </c>
      <c r="N788" s="5" t="n"/>
      <c r="O788" s="5" t="n"/>
    </row>
    <row r="789">
      <c r="A789">
        <f>IF('Blind Count Entry'!A787="","",'Blind Count Entry'!A787)</f>
        <v/>
      </c>
      <c r="B789" s="16">
        <f>IF($A789="","",'Blind Count Entry'!B787)</f>
        <v/>
      </c>
      <c r="C789">
        <f>IF($A789="","",'Blind Count Entry'!C787)</f>
        <v/>
      </c>
      <c r="D789">
        <f>IF($A789="","",'Blind Count Entry'!D787)</f>
        <v/>
      </c>
      <c r="E789">
        <f>IF($A789="","",IFERROR(INDEX('ABC Analysis'!$F:$F,MATCH($C789,'ABC Analysis'!$A:$A,0)),""))</f>
        <v/>
      </c>
      <c r="F789">
        <f>IF($A789="","",IFERROR(INDEX('Master Inventory'!$E:$E,MATCH($C789,'Master Inventory'!$A:$A,0)),0))</f>
        <v/>
      </c>
      <c r="G789">
        <f>IF($A789="","",'Blind Count Entry'!F787)</f>
        <v/>
      </c>
      <c r="H789">
        <f>IF($A789="","",G789-F789)</f>
        <v/>
      </c>
      <c r="I789" s="17">
        <f>IF($A789="","",IF(F789=0,IF(H789=0,0,1),ABS(H789)/F789))</f>
        <v/>
      </c>
      <c r="J789" s="18">
        <f>IF($A789="","",IF($E789="A",$E$1,IF($E789="B",$G$1,$I$1)))</f>
        <v/>
      </c>
      <c r="K789">
        <f>IF($A789="","",IF(H789=0,"MATCH",IF(I789&gt;J789,"RECOUNT","WITHIN TOLERANCE")))</f>
        <v/>
      </c>
      <c r="L789" s="5" t="n"/>
      <c r="M789">
        <f>IF(OR($A789="",$L789=""),"",L789-F789)</f>
        <v/>
      </c>
      <c r="N789" s="5" t="n"/>
      <c r="O789" s="5" t="n"/>
    </row>
    <row r="790">
      <c r="A790">
        <f>IF('Blind Count Entry'!A788="","",'Blind Count Entry'!A788)</f>
        <v/>
      </c>
      <c r="B790" s="16">
        <f>IF($A790="","",'Blind Count Entry'!B788)</f>
        <v/>
      </c>
      <c r="C790">
        <f>IF($A790="","",'Blind Count Entry'!C788)</f>
        <v/>
      </c>
      <c r="D790">
        <f>IF($A790="","",'Blind Count Entry'!D788)</f>
        <v/>
      </c>
      <c r="E790">
        <f>IF($A790="","",IFERROR(INDEX('ABC Analysis'!$F:$F,MATCH($C790,'ABC Analysis'!$A:$A,0)),""))</f>
        <v/>
      </c>
      <c r="F790">
        <f>IF($A790="","",IFERROR(INDEX('Master Inventory'!$E:$E,MATCH($C790,'Master Inventory'!$A:$A,0)),0))</f>
        <v/>
      </c>
      <c r="G790">
        <f>IF($A790="","",'Blind Count Entry'!F788)</f>
        <v/>
      </c>
      <c r="H790">
        <f>IF($A790="","",G790-F790)</f>
        <v/>
      </c>
      <c r="I790" s="17">
        <f>IF($A790="","",IF(F790=0,IF(H790=0,0,1),ABS(H790)/F790))</f>
        <v/>
      </c>
      <c r="J790" s="18">
        <f>IF($A790="","",IF($E790="A",$E$1,IF($E790="B",$G$1,$I$1)))</f>
        <v/>
      </c>
      <c r="K790">
        <f>IF($A790="","",IF(H790=0,"MATCH",IF(I790&gt;J790,"RECOUNT","WITHIN TOLERANCE")))</f>
        <v/>
      </c>
      <c r="L790" s="5" t="n"/>
      <c r="M790">
        <f>IF(OR($A790="",$L790=""),"",L790-F790)</f>
        <v/>
      </c>
      <c r="N790" s="5" t="n"/>
      <c r="O790" s="5" t="n"/>
    </row>
    <row r="791">
      <c r="A791">
        <f>IF('Blind Count Entry'!A789="","",'Blind Count Entry'!A789)</f>
        <v/>
      </c>
      <c r="B791" s="16">
        <f>IF($A791="","",'Blind Count Entry'!B789)</f>
        <v/>
      </c>
      <c r="C791">
        <f>IF($A791="","",'Blind Count Entry'!C789)</f>
        <v/>
      </c>
      <c r="D791">
        <f>IF($A791="","",'Blind Count Entry'!D789)</f>
        <v/>
      </c>
      <c r="E791">
        <f>IF($A791="","",IFERROR(INDEX('ABC Analysis'!$F:$F,MATCH($C791,'ABC Analysis'!$A:$A,0)),""))</f>
        <v/>
      </c>
      <c r="F791">
        <f>IF($A791="","",IFERROR(INDEX('Master Inventory'!$E:$E,MATCH($C791,'Master Inventory'!$A:$A,0)),0))</f>
        <v/>
      </c>
      <c r="G791">
        <f>IF($A791="","",'Blind Count Entry'!F789)</f>
        <v/>
      </c>
      <c r="H791">
        <f>IF($A791="","",G791-F791)</f>
        <v/>
      </c>
      <c r="I791" s="17">
        <f>IF($A791="","",IF(F791=0,IF(H791=0,0,1),ABS(H791)/F791))</f>
        <v/>
      </c>
      <c r="J791" s="18">
        <f>IF($A791="","",IF($E791="A",$E$1,IF($E791="B",$G$1,$I$1)))</f>
        <v/>
      </c>
      <c r="K791">
        <f>IF($A791="","",IF(H791=0,"MATCH",IF(I791&gt;J791,"RECOUNT","WITHIN TOLERANCE")))</f>
        <v/>
      </c>
      <c r="L791" s="5" t="n"/>
      <c r="M791">
        <f>IF(OR($A791="",$L791=""),"",L791-F791)</f>
        <v/>
      </c>
      <c r="N791" s="5" t="n"/>
      <c r="O791" s="5" t="n"/>
    </row>
    <row r="792">
      <c r="A792">
        <f>IF('Blind Count Entry'!A790="","",'Blind Count Entry'!A790)</f>
        <v/>
      </c>
      <c r="B792" s="16">
        <f>IF($A792="","",'Blind Count Entry'!B790)</f>
        <v/>
      </c>
      <c r="C792">
        <f>IF($A792="","",'Blind Count Entry'!C790)</f>
        <v/>
      </c>
      <c r="D792">
        <f>IF($A792="","",'Blind Count Entry'!D790)</f>
        <v/>
      </c>
      <c r="E792">
        <f>IF($A792="","",IFERROR(INDEX('ABC Analysis'!$F:$F,MATCH($C792,'ABC Analysis'!$A:$A,0)),""))</f>
        <v/>
      </c>
      <c r="F792">
        <f>IF($A792="","",IFERROR(INDEX('Master Inventory'!$E:$E,MATCH($C792,'Master Inventory'!$A:$A,0)),0))</f>
        <v/>
      </c>
      <c r="G792">
        <f>IF($A792="","",'Blind Count Entry'!F790)</f>
        <v/>
      </c>
      <c r="H792">
        <f>IF($A792="","",G792-F792)</f>
        <v/>
      </c>
      <c r="I792" s="17">
        <f>IF($A792="","",IF(F792=0,IF(H792=0,0,1),ABS(H792)/F792))</f>
        <v/>
      </c>
      <c r="J792" s="18">
        <f>IF($A792="","",IF($E792="A",$E$1,IF($E792="B",$G$1,$I$1)))</f>
        <v/>
      </c>
      <c r="K792">
        <f>IF($A792="","",IF(H792=0,"MATCH",IF(I792&gt;J792,"RECOUNT","WITHIN TOLERANCE")))</f>
        <v/>
      </c>
      <c r="L792" s="5" t="n"/>
      <c r="M792">
        <f>IF(OR($A792="",$L792=""),"",L792-F792)</f>
        <v/>
      </c>
      <c r="N792" s="5" t="n"/>
      <c r="O792" s="5" t="n"/>
    </row>
    <row r="793">
      <c r="A793">
        <f>IF('Blind Count Entry'!A791="","",'Blind Count Entry'!A791)</f>
        <v/>
      </c>
      <c r="B793" s="16">
        <f>IF($A793="","",'Blind Count Entry'!B791)</f>
        <v/>
      </c>
      <c r="C793">
        <f>IF($A793="","",'Blind Count Entry'!C791)</f>
        <v/>
      </c>
      <c r="D793">
        <f>IF($A793="","",'Blind Count Entry'!D791)</f>
        <v/>
      </c>
      <c r="E793">
        <f>IF($A793="","",IFERROR(INDEX('ABC Analysis'!$F:$F,MATCH($C793,'ABC Analysis'!$A:$A,0)),""))</f>
        <v/>
      </c>
      <c r="F793">
        <f>IF($A793="","",IFERROR(INDEX('Master Inventory'!$E:$E,MATCH($C793,'Master Inventory'!$A:$A,0)),0))</f>
        <v/>
      </c>
      <c r="G793">
        <f>IF($A793="","",'Blind Count Entry'!F791)</f>
        <v/>
      </c>
      <c r="H793">
        <f>IF($A793="","",G793-F793)</f>
        <v/>
      </c>
      <c r="I793" s="17">
        <f>IF($A793="","",IF(F793=0,IF(H793=0,0,1),ABS(H793)/F793))</f>
        <v/>
      </c>
      <c r="J793" s="18">
        <f>IF($A793="","",IF($E793="A",$E$1,IF($E793="B",$G$1,$I$1)))</f>
        <v/>
      </c>
      <c r="K793">
        <f>IF($A793="","",IF(H793=0,"MATCH",IF(I793&gt;J793,"RECOUNT","WITHIN TOLERANCE")))</f>
        <v/>
      </c>
      <c r="L793" s="5" t="n"/>
      <c r="M793">
        <f>IF(OR($A793="",$L793=""),"",L793-F793)</f>
        <v/>
      </c>
      <c r="N793" s="5" t="n"/>
      <c r="O793" s="5" t="n"/>
    </row>
    <row r="794">
      <c r="A794">
        <f>IF('Blind Count Entry'!A792="","",'Blind Count Entry'!A792)</f>
        <v/>
      </c>
      <c r="B794" s="16">
        <f>IF($A794="","",'Blind Count Entry'!B792)</f>
        <v/>
      </c>
      <c r="C794">
        <f>IF($A794="","",'Blind Count Entry'!C792)</f>
        <v/>
      </c>
      <c r="D794">
        <f>IF($A794="","",'Blind Count Entry'!D792)</f>
        <v/>
      </c>
      <c r="E794">
        <f>IF($A794="","",IFERROR(INDEX('ABC Analysis'!$F:$F,MATCH($C794,'ABC Analysis'!$A:$A,0)),""))</f>
        <v/>
      </c>
      <c r="F794">
        <f>IF($A794="","",IFERROR(INDEX('Master Inventory'!$E:$E,MATCH($C794,'Master Inventory'!$A:$A,0)),0))</f>
        <v/>
      </c>
      <c r="G794">
        <f>IF($A794="","",'Blind Count Entry'!F792)</f>
        <v/>
      </c>
      <c r="H794">
        <f>IF($A794="","",G794-F794)</f>
        <v/>
      </c>
      <c r="I794" s="17">
        <f>IF($A794="","",IF(F794=0,IF(H794=0,0,1),ABS(H794)/F794))</f>
        <v/>
      </c>
      <c r="J794" s="18">
        <f>IF($A794="","",IF($E794="A",$E$1,IF($E794="B",$G$1,$I$1)))</f>
        <v/>
      </c>
      <c r="K794">
        <f>IF($A794="","",IF(H794=0,"MATCH",IF(I794&gt;J794,"RECOUNT","WITHIN TOLERANCE")))</f>
        <v/>
      </c>
      <c r="L794" s="5" t="n"/>
      <c r="M794">
        <f>IF(OR($A794="",$L794=""),"",L794-F794)</f>
        <v/>
      </c>
      <c r="N794" s="5" t="n"/>
      <c r="O794" s="5" t="n"/>
    </row>
    <row r="795">
      <c r="A795">
        <f>IF('Blind Count Entry'!A793="","",'Blind Count Entry'!A793)</f>
        <v/>
      </c>
      <c r="B795" s="16">
        <f>IF($A795="","",'Blind Count Entry'!B793)</f>
        <v/>
      </c>
      <c r="C795">
        <f>IF($A795="","",'Blind Count Entry'!C793)</f>
        <v/>
      </c>
      <c r="D795">
        <f>IF($A795="","",'Blind Count Entry'!D793)</f>
        <v/>
      </c>
      <c r="E795">
        <f>IF($A795="","",IFERROR(INDEX('ABC Analysis'!$F:$F,MATCH($C795,'ABC Analysis'!$A:$A,0)),""))</f>
        <v/>
      </c>
      <c r="F795">
        <f>IF($A795="","",IFERROR(INDEX('Master Inventory'!$E:$E,MATCH($C795,'Master Inventory'!$A:$A,0)),0))</f>
        <v/>
      </c>
      <c r="G795">
        <f>IF($A795="","",'Blind Count Entry'!F793)</f>
        <v/>
      </c>
      <c r="H795">
        <f>IF($A795="","",G795-F795)</f>
        <v/>
      </c>
      <c r="I795" s="17">
        <f>IF($A795="","",IF(F795=0,IF(H795=0,0,1),ABS(H795)/F795))</f>
        <v/>
      </c>
      <c r="J795" s="18">
        <f>IF($A795="","",IF($E795="A",$E$1,IF($E795="B",$G$1,$I$1)))</f>
        <v/>
      </c>
      <c r="K795">
        <f>IF($A795="","",IF(H795=0,"MATCH",IF(I795&gt;J795,"RECOUNT","WITHIN TOLERANCE")))</f>
        <v/>
      </c>
      <c r="L795" s="5" t="n"/>
      <c r="M795">
        <f>IF(OR($A795="",$L795=""),"",L795-F795)</f>
        <v/>
      </c>
      <c r="N795" s="5" t="n"/>
      <c r="O795" s="5" t="n"/>
    </row>
    <row r="796">
      <c r="A796">
        <f>IF('Blind Count Entry'!A794="","",'Blind Count Entry'!A794)</f>
        <v/>
      </c>
      <c r="B796" s="16">
        <f>IF($A796="","",'Blind Count Entry'!B794)</f>
        <v/>
      </c>
      <c r="C796">
        <f>IF($A796="","",'Blind Count Entry'!C794)</f>
        <v/>
      </c>
      <c r="D796">
        <f>IF($A796="","",'Blind Count Entry'!D794)</f>
        <v/>
      </c>
      <c r="E796">
        <f>IF($A796="","",IFERROR(INDEX('ABC Analysis'!$F:$F,MATCH($C796,'ABC Analysis'!$A:$A,0)),""))</f>
        <v/>
      </c>
      <c r="F796">
        <f>IF($A796="","",IFERROR(INDEX('Master Inventory'!$E:$E,MATCH($C796,'Master Inventory'!$A:$A,0)),0))</f>
        <v/>
      </c>
      <c r="G796">
        <f>IF($A796="","",'Blind Count Entry'!F794)</f>
        <v/>
      </c>
      <c r="H796">
        <f>IF($A796="","",G796-F796)</f>
        <v/>
      </c>
      <c r="I796" s="17">
        <f>IF($A796="","",IF(F796=0,IF(H796=0,0,1),ABS(H796)/F796))</f>
        <v/>
      </c>
      <c r="J796" s="18">
        <f>IF($A796="","",IF($E796="A",$E$1,IF($E796="B",$G$1,$I$1)))</f>
        <v/>
      </c>
      <c r="K796">
        <f>IF($A796="","",IF(H796=0,"MATCH",IF(I796&gt;J796,"RECOUNT","WITHIN TOLERANCE")))</f>
        <v/>
      </c>
      <c r="L796" s="5" t="n"/>
      <c r="M796">
        <f>IF(OR($A796="",$L796=""),"",L796-F796)</f>
        <v/>
      </c>
      <c r="N796" s="5" t="n"/>
      <c r="O796" s="5" t="n"/>
    </row>
    <row r="797">
      <c r="A797">
        <f>IF('Blind Count Entry'!A795="","",'Blind Count Entry'!A795)</f>
        <v/>
      </c>
      <c r="B797" s="16">
        <f>IF($A797="","",'Blind Count Entry'!B795)</f>
        <v/>
      </c>
      <c r="C797">
        <f>IF($A797="","",'Blind Count Entry'!C795)</f>
        <v/>
      </c>
      <c r="D797">
        <f>IF($A797="","",'Blind Count Entry'!D795)</f>
        <v/>
      </c>
      <c r="E797">
        <f>IF($A797="","",IFERROR(INDEX('ABC Analysis'!$F:$F,MATCH($C797,'ABC Analysis'!$A:$A,0)),""))</f>
        <v/>
      </c>
      <c r="F797">
        <f>IF($A797="","",IFERROR(INDEX('Master Inventory'!$E:$E,MATCH($C797,'Master Inventory'!$A:$A,0)),0))</f>
        <v/>
      </c>
      <c r="G797">
        <f>IF($A797="","",'Blind Count Entry'!F795)</f>
        <v/>
      </c>
      <c r="H797">
        <f>IF($A797="","",G797-F797)</f>
        <v/>
      </c>
      <c r="I797" s="17">
        <f>IF($A797="","",IF(F797=0,IF(H797=0,0,1),ABS(H797)/F797))</f>
        <v/>
      </c>
      <c r="J797" s="18">
        <f>IF($A797="","",IF($E797="A",$E$1,IF($E797="B",$G$1,$I$1)))</f>
        <v/>
      </c>
      <c r="K797">
        <f>IF($A797="","",IF(H797=0,"MATCH",IF(I797&gt;J797,"RECOUNT","WITHIN TOLERANCE")))</f>
        <v/>
      </c>
      <c r="L797" s="5" t="n"/>
      <c r="M797">
        <f>IF(OR($A797="",$L797=""),"",L797-F797)</f>
        <v/>
      </c>
      <c r="N797" s="5" t="n"/>
      <c r="O797" s="5" t="n"/>
    </row>
    <row r="798">
      <c r="A798">
        <f>IF('Blind Count Entry'!A796="","",'Blind Count Entry'!A796)</f>
        <v/>
      </c>
      <c r="B798" s="16">
        <f>IF($A798="","",'Blind Count Entry'!B796)</f>
        <v/>
      </c>
      <c r="C798">
        <f>IF($A798="","",'Blind Count Entry'!C796)</f>
        <v/>
      </c>
      <c r="D798">
        <f>IF($A798="","",'Blind Count Entry'!D796)</f>
        <v/>
      </c>
      <c r="E798">
        <f>IF($A798="","",IFERROR(INDEX('ABC Analysis'!$F:$F,MATCH($C798,'ABC Analysis'!$A:$A,0)),""))</f>
        <v/>
      </c>
      <c r="F798">
        <f>IF($A798="","",IFERROR(INDEX('Master Inventory'!$E:$E,MATCH($C798,'Master Inventory'!$A:$A,0)),0))</f>
        <v/>
      </c>
      <c r="G798">
        <f>IF($A798="","",'Blind Count Entry'!F796)</f>
        <v/>
      </c>
      <c r="H798">
        <f>IF($A798="","",G798-F798)</f>
        <v/>
      </c>
      <c r="I798" s="17">
        <f>IF($A798="","",IF(F798=0,IF(H798=0,0,1),ABS(H798)/F798))</f>
        <v/>
      </c>
      <c r="J798" s="18">
        <f>IF($A798="","",IF($E798="A",$E$1,IF($E798="B",$G$1,$I$1)))</f>
        <v/>
      </c>
      <c r="K798">
        <f>IF($A798="","",IF(H798=0,"MATCH",IF(I798&gt;J798,"RECOUNT","WITHIN TOLERANCE")))</f>
        <v/>
      </c>
      <c r="L798" s="5" t="n"/>
      <c r="M798">
        <f>IF(OR($A798="",$L798=""),"",L798-F798)</f>
        <v/>
      </c>
      <c r="N798" s="5" t="n"/>
      <c r="O798" s="5" t="n"/>
    </row>
    <row r="799">
      <c r="A799">
        <f>IF('Blind Count Entry'!A797="","",'Blind Count Entry'!A797)</f>
        <v/>
      </c>
      <c r="B799" s="16">
        <f>IF($A799="","",'Blind Count Entry'!B797)</f>
        <v/>
      </c>
      <c r="C799">
        <f>IF($A799="","",'Blind Count Entry'!C797)</f>
        <v/>
      </c>
      <c r="D799">
        <f>IF($A799="","",'Blind Count Entry'!D797)</f>
        <v/>
      </c>
      <c r="E799">
        <f>IF($A799="","",IFERROR(INDEX('ABC Analysis'!$F:$F,MATCH($C799,'ABC Analysis'!$A:$A,0)),""))</f>
        <v/>
      </c>
      <c r="F799">
        <f>IF($A799="","",IFERROR(INDEX('Master Inventory'!$E:$E,MATCH($C799,'Master Inventory'!$A:$A,0)),0))</f>
        <v/>
      </c>
      <c r="G799">
        <f>IF($A799="","",'Blind Count Entry'!F797)</f>
        <v/>
      </c>
      <c r="H799">
        <f>IF($A799="","",G799-F799)</f>
        <v/>
      </c>
      <c r="I799" s="17">
        <f>IF($A799="","",IF(F799=0,IF(H799=0,0,1),ABS(H799)/F799))</f>
        <v/>
      </c>
      <c r="J799" s="18">
        <f>IF($A799="","",IF($E799="A",$E$1,IF($E799="B",$G$1,$I$1)))</f>
        <v/>
      </c>
      <c r="K799">
        <f>IF($A799="","",IF(H799=0,"MATCH",IF(I799&gt;J799,"RECOUNT","WITHIN TOLERANCE")))</f>
        <v/>
      </c>
      <c r="L799" s="5" t="n"/>
      <c r="M799">
        <f>IF(OR($A799="",$L799=""),"",L799-F799)</f>
        <v/>
      </c>
      <c r="N799" s="5" t="n"/>
      <c r="O799" s="5" t="n"/>
    </row>
    <row r="800">
      <c r="A800">
        <f>IF('Blind Count Entry'!A798="","",'Blind Count Entry'!A798)</f>
        <v/>
      </c>
      <c r="B800" s="16">
        <f>IF($A800="","",'Blind Count Entry'!B798)</f>
        <v/>
      </c>
      <c r="C800">
        <f>IF($A800="","",'Blind Count Entry'!C798)</f>
        <v/>
      </c>
      <c r="D800">
        <f>IF($A800="","",'Blind Count Entry'!D798)</f>
        <v/>
      </c>
      <c r="E800">
        <f>IF($A800="","",IFERROR(INDEX('ABC Analysis'!$F:$F,MATCH($C800,'ABC Analysis'!$A:$A,0)),""))</f>
        <v/>
      </c>
      <c r="F800">
        <f>IF($A800="","",IFERROR(INDEX('Master Inventory'!$E:$E,MATCH($C800,'Master Inventory'!$A:$A,0)),0))</f>
        <v/>
      </c>
      <c r="G800">
        <f>IF($A800="","",'Blind Count Entry'!F798)</f>
        <v/>
      </c>
      <c r="H800">
        <f>IF($A800="","",G800-F800)</f>
        <v/>
      </c>
      <c r="I800" s="17">
        <f>IF($A800="","",IF(F800=0,IF(H800=0,0,1),ABS(H800)/F800))</f>
        <v/>
      </c>
      <c r="J800" s="18">
        <f>IF($A800="","",IF($E800="A",$E$1,IF($E800="B",$G$1,$I$1)))</f>
        <v/>
      </c>
      <c r="K800">
        <f>IF($A800="","",IF(H800=0,"MATCH",IF(I800&gt;J800,"RECOUNT","WITHIN TOLERANCE")))</f>
        <v/>
      </c>
      <c r="L800" s="5" t="n"/>
      <c r="M800">
        <f>IF(OR($A800="",$L800=""),"",L800-F800)</f>
        <v/>
      </c>
      <c r="N800" s="5" t="n"/>
      <c r="O800" s="5" t="n"/>
    </row>
    <row r="801">
      <c r="A801">
        <f>IF('Blind Count Entry'!A799="","",'Blind Count Entry'!A799)</f>
        <v/>
      </c>
      <c r="B801" s="16">
        <f>IF($A801="","",'Blind Count Entry'!B799)</f>
        <v/>
      </c>
      <c r="C801">
        <f>IF($A801="","",'Blind Count Entry'!C799)</f>
        <v/>
      </c>
      <c r="D801">
        <f>IF($A801="","",'Blind Count Entry'!D799)</f>
        <v/>
      </c>
      <c r="E801">
        <f>IF($A801="","",IFERROR(INDEX('ABC Analysis'!$F:$F,MATCH($C801,'ABC Analysis'!$A:$A,0)),""))</f>
        <v/>
      </c>
      <c r="F801">
        <f>IF($A801="","",IFERROR(INDEX('Master Inventory'!$E:$E,MATCH($C801,'Master Inventory'!$A:$A,0)),0))</f>
        <v/>
      </c>
      <c r="G801">
        <f>IF($A801="","",'Blind Count Entry'!F799)</f>
        <v/>
      </c>
      <c r="H801">
        <f>IF($A801="","",G801-F801)</f>
        <v/>
      </c>
      <c r="I801" s="17">
        <f>IF($A801="","",IF(F801=0,IF(H801=0,0,1),ABS(H801)/F801))</f>
        <v/>
      </c>
      <c r="J801" s="18">
        <f>IF($A801="","",IF($E801="A",$E$1,IF($E801="B",$G$1,$I$1)))</f>
        <v/>
      </c>
      <c r="K801">
        <f>IF($A801="","",IF(H801=0,"MATCH",IF(I801&gt;J801,"RECOUNT","WITHIN TOLERANCE")))</f>
        <v/>
      </c>
      <c r="L801" s="5" t="n"/>
      <c r="M801">
        <f>IF(OR($A801="",$L801=""),"",L801-F801)</f>
        <v/>
      </c>
      <c r="N801" s="5" t="n"/>
      <c r="O801" s="5" t="n"/>
    </row>
    <row r="802">
      <c r="A802">
        <f>IF('Blind Count Entry'!A800="","",'Blind Count Entry'!A800)</f>
        <v/>
      </c>
      <c r="B802" s="16">
        <f>IF($A802="","",'Blind Count Entry'!B800)</f>
        <v/>
      </c>
      <c r="C802">
        <f>IF($A802="","",'Blind Count Entry'!C800)</f>
        <v/>
      </c>
      <c r="D802">
        <f>IF($A802="","",'Blind Count Entry'!D800)</f>
        <v/>
      </c>
      <c r="E802">
        <f>IF($A802="","",IFERROR(INDEX('ABC Analysis'!$F:$F,MATCH($C802,'ABC Analysis'!$A:$A,0)),""))</f>
        <v/>
      </c>
      <c r="F802">
        <f>IF($A802="","",IFERROR(INDEX('Master Inventory'!$E:$E,MATCH($C802,'Master Inventory'!$A:$A,0)),0))</f>
        <v/>
      </c>
      <c r="G802">
        <f>IF($A802="","",'Blind Count Entry'!F800)</f>
        <v/>
      </c>
      <c r="H802">
        <f>IF($A802="","",G802-F802)</f>
        <v/>
      </c>
      <c r="I802" s="17">
        <f>IF($A802="","",IF(F802=0,IF(H802=0,0,1),ABS(H802)/F802))</f>
        <v/>
      </c>
      <c r="J802" s="18">
        <f>IF($A802="","",IF($E802="A",$E$1,IF($E802="B",$G$1,$I$1)))</f>
        <v/>
      </c>
      <c r="K802">
        <f>IF($A802="","",IF(H802=0,"MATCH",IF(I802&gt;J802,"RECOUNT","WITHIN TOLERANCE")))</f>
        <v/>
      </c>
      <c r="L802" s="5" t="n"/>
      <c r="M802">
        <f>IF(OR($A802="",$L802=""),"",L802-F802)</f>
        <v/>
      </c>
      <c r="N802" s="5" t="n"/>
      <c r="O802" s="5" t="n"/>
    </row>
    <row r="803">
      <c r="A803">
        <f>IF('Blind Count Entry'!A801="","",'Blind Count Entry'!A801)</f>
        <v/>
      </c>
      <c r="B803" s="16">
        <f>IF($A803="","",'Blind Count Entry'!B801)</f>
        <v/>
      </c>
      <c r="C803">
        <f>IF($A803="","",'Blind Count Entry'!C801)</f>
        <v/>
      </c>
      <c r="D803">
        <f>IF($A803="","",'Blind Count Entry'!D801)</f>
        <v/>
      </c>
      <c r="E803">
        <f>IF($A803="","",IFERROR(INDEX('ABC Analysis'!$F:$F,MATCH($C803,'ABC Analysis'!$A:$A,0)),""))</f>
        <v/>
      </c>
      <c r="F803">
        <f>IF($A803="","",IFERROR(INDEX('Master Inventory'!$E:$E,MATCH($C803,'Master Inventory'!$A:$A,0)),0))</f>
        <v/>
      </c>
      <c r="G803">
        <f>IF($A803="","",'Blind Count Entry'!F801)</f>
        <v/>
      </c>
      <c r="H803">
        <f>IF($A803="","",G803-F803)</f>
        <v/>
      </c>
      <c r="I803" s="17">
        <f>IF($A803="","",IF(F803=0,IF(H803=0,0,1),ABS(H803)/F803))</f>
        <v/>
      </c>
      <c r="J803" s="18">
        <f>IF($A803="","",IF($E803="A",$E$1,IF($E803="B",$G$1,$I$1)))</f>
        <v/>
      </c>
      <c r="K803">
        <f>IF($A803="","",IF(H803=0,"MATCH",IF(I803&gt;J803,"RECOUNT","WITHIN TOLERANCE")))</f>
        <v/>
      </c>
      <c r="L803" s="5" t="n"/>
      <c r="M803">
        <f>IF(OR($A803="",$L803=""),"",L803-F803)</f>
        <v/>
      </c>
      <c r="N803" s="5" t="n"/>
      <c r="O803" s="5" t="n"/>
    </row>
    <row r="804">
      <c r="A804">
        <f>IF('Blind Count Entry'!A802="","",'Blind Count Entry'!A802)</f>
        <v/>
      </c>
      <c r="B804" s="16">
        <f>IF($A804="","",'Blind Count Entry'!B802)</f>
        <v/>
      </c>
      <c r="C804">
        <f>IF($A804="","",'Blind Count Entry'!C802)</f>
        <v/>
      </c>
      <c r="D804">
        <f>IF($A804="","",'Blind Count Entry'!D802)</f>
        <v/>
      </c>
      <c r="E804">
        <f>IF($A804="","",IFERROR(INDEX('ABC Analysis'!$F:$F,MATCH($C804,'ABC Analysis'!$A:$A,0)),""))</f>
        <v/>
      </c>
      <c r="F804">
        <f>IF($A804="","",IFERROR(INDEX('Master Inventory'!$E:$E,MATCH($C804,'Master Inventory'!$A:$A,0)),0))</f>
        <v/>
      </c>
      <c r="G804">
        <f>IF($A804="","",'Blind Count Entry'!F802)</f>
        <v/>
      </c>
      <c r="H804">
        <f>IF($A804="","",G804-F804)</f>
        <v/>
      </c>
      <c r="I804" s="17">
        <f>IF($A804="","",IF(F804=0,IF(H804=0,0,1),ABS(H804)/F804))</f>
        <v/>
      </c>
      <c r="J804" s="18">
        <f>IF($A804="","",IF($E804="A",$E$1,IF($E804="B",$G$1,$I$1)))</f>
        <v/>
      </c>
      <c r="K804">
        <f>IF($A804="","",IF(H804=0,"MATCH",IF(I804&gt;J804,"RECOUNT","WITHIN TOLERANCE")))</f>
        <v/>
      </c>
      <c r="L804" s="5" t="n"/>
      <c r="M804">
        <f>IF(OR($A804="",$L804=""),"",L804-F804)</f>
        <v/>
      </c>
      <c r="N804" s="5" t="n"/>
      <c r="O804" s="5" t="n"/>
    </row>
    <row r="805">
      <c r="A805">
        <f>IF('Blind Count Entry'!A803="","",'Blind Count Entry'!A803)</f>
        <v/>
      </c>
      <c r="B805" s="16">
        <f>IF($A805="","",'Blind Count Entry'!B803)</f>
        <v/>
      </c>
      <c r="C805">
        <f>IF($A805="","",'Blind Count Entry'!C803)</f>
        <v/>
      </c>
      <c r="D805">
        <f>IF($A805="","",'Blind Count Entry'!D803)</f>
        <v/>
      </c>
      <c r="E805">
        <f>IF($A805="","",IFERROR(INDEX('ABC Analysis'!$F:$F,MATCH($C805,'ABC Analysis'!$A:$A,0)),""))</f>
        <v/>
      </c>
      <c r="F805">
        <f>IF($A805="","",IFERROR(INDEX('Master Inventory'!$E:$E,MATCH($C805,'Master Inventory'!$A:$A,0)),0))</f>
        <v/>
      </c>
      <c r="G805">
        <f>IF($A805="","",'Blind Count Entry'!F803)</f>
        <v/>
      </c>
      <c r="H805">
        <f>IF($A805="","",G805-F805)</f>
        <v/>
      </c>
      <c r="I805" s="17">
        <f>IF($A805="","",IF(F805=0,IF(H805=0,0,1),ABS(H805)/F805))</f>
        <v/>
      </c>
      <c r="J805" s="18">
        <f>IF($A805="","",IF($E805="A",$E$1,IF($E805="B",$G$1,$I$1)))</f>
        <v/>
      </c>
      <c r="K805">
        <f>IF($A805="","",IF(H805=0,"MATCH",IF(I805&gt;J805,"RECOUNT","WITHIN TOLERANCE")))</f>
        <v/>
      </c>
      <c r="L805" s="5" t="n"/>
      <c r="M805">
        <f>IF(OR($A805="",$L805=""),"",L805-F805)</f>
        <v/>
      </c>
      <c r="N805" s="5" t="n"/>
      <c r="O805" s="5" t="n"/>
    </row>
    <row r="806">
      <c r="A806">
        <f>IF('Blind Count Entry'!A804="","",'Blind Count Entry'!A804)</f>
        <v/>
      </c>
      <c r="B806" s="16">
        <f>IF($A806="","",'Blind Count Entry'!B804)</f>
        <v/>
      </c>
      <c r="C806">
        <f>IF($A806="","",'Blind Count Entry'!C804)</f>
        <v/>
      </c>
      <c r="D806">
        <f>IF($A806="","",'Blind Count Entry'!D804)</f>
        <v/>
      </c>
      <c r="E806">
        <f>IF($A806="","",IFERROR(INDEX('ABC Analysis'!$F:$F,MATCH($C806,'ABC Analysis'!$A:$A,0)),""))</f>
        <v/>
      </c>
      <c r="F806">
        <f>IF($A806="","",IFERROR(INDEX('Master Inventory'!$E:$E,MATCH($C806,'Master Inventory'!$A:$A,0)),0))</f>
        <v/>
      </c>
      <c r="G806">
        <f>IF($A806="","",'Blind Count Entry'!F804)</f>
        <v/>
      </c>
      <c r="H806">
        <f>IF($A806="","",G806-F806)</f>
        <v/>
      </c>
      <c r="I806" s="17">
        <f>IF($A806="","",IF(F806=0,IF(H806=0,0,1),ABS(H806)/F806))</f>
        <v/>
      </c>
      <c r="J806" s="18">
        <f>IF($A806="","",IF($E806="A",$E$1,IF($E806="B",$G$1,$I$1)))</f>
        <v/>
      </c>
      <c r="K806">
        <f>IF($A806="","",IF(H806=0,"MATCH",IF(I806&gt;J806,"RECOUNT","WITHIN TOLERANCE")))</f>
        <v/>
      </c>
      <c r="L806" s="5" t="n"/>
      <c r="M806">
        <f>IF(OR($A806="",$L806=""),"",L806-F806)</f>
        <v/>
      </c>
      <c r="N806" s="5" t="n"/>
      <c r="O806" s="5" t="n"/>
    </row>
    <row r="807">
      <c r="A807">
        <f>IF('Blind Count Entry'!A805="","",'Blind Count Entry'!A805)</f>
        <v/>
      </c>
      <c r="B807" s="16">
        <f>IF($A807="","",'Blind Count Entry'!B805)</f>
        <v/>
      </c>
      <c r="C807">
        <f>IF($A807="","",'Blind Count Entry'!C805)</f>
        <v/>
      </c>
      <c r="D807">
        <f>IF($A807="","",'Blind Count Entry'!D805)</f>
        <v/>
      </c>
      <c r="E807">
        <f>IF($A807="","",IFERROR(INDEX('ABC Analysis'!$F:$F,MATCH($C807,'ABC Analysis'!$A:$A,0)),""))</f>
        <v/>
      </c>
      <c r="F807">
        <f>IF($A807="","",IFERROR(INDEX('Master Inventory'!$E:$E,MATCH($C807,'Master Inventory'!$A:$A,0)),0))</f>
        <v/>
      </c>
      <c r="G807">
        <f>IF($A807="","",'Blind Count Entry'!F805)</f>
        <v/>
      </c>
      <c r="H807">
        <f>IF($A807="","",G807-F807)</f>
        <v/>
      </c>
      <c r="I807" s="17">
        <f>IF($A807="","",IF(F807=0,IF(H807=0,0,1),ABS(H807)/F807))</f>
        <v/>
      </c>
      <c r="J807" s="18">
        <f>IF($A807="","",IF($E807="A",$E$1,IF($E807="B",$G$1,$I$1)))</f>
        <v/>
      </c>
      <c r="K807">
        <f>IF($A807="","",IF(H807=0,"MATCH",IF(I807&gt;J807,"RECOUNT","WITHIN TOLERANCE")))</f>
        <v/>
      </c>
      <c r="L807" s="5" t="n"/>
      <c r="M807">
        <f>IF(OR($A807="",$L807=""),"",L807-F807)</f>
        <v/>
      </c>
      <c r="N807" s="5" t="n"/>
      <c r="O807" s="5" t="n"/>
    </row>
    <row r="808">
      <c r="A808">
        <f>IF('Blind Count Entry'!A806="","",'Blind Count Entry'!A806)</f>
        <v/>
      </c>
      <c r="B808" s="16">
        <f>IF($A808="","",'Blind Count Entry'!B806)</f>
        <v/>
      </c>
      <c r="C808">
        <f>IF($A808="","",'Blind Count Entry'!C806)</f>
        <v/>
      </c>
      <c r="D808">
        <f>IF($A808="","",'Blind Count Entry'!D806)</f>
        <v/>
      </c>
      <c r="E808">
        <f>IF($A808="","",IFERROR(INDEX('ABC Analysis'!$F:$F,MATCH($C808,'ABC Analysis'!$A:$A,0)),""))</f>
        <v/>
      </c>
      <c r="F808">
        <f>IF($A808="","",IFERROR(INDEX('Master Inventory'!$E:$E,MATCH($C808,'Master Inventory'!$A:$A,0)),0))</f>
        <v/>
      </c>
      <c r="G808">
        <f>IF($A808="","",'Blind Count Entry'!F806)</f>
        <v/>
      </c>
      <c r="H808">
        <f>IF($A808="","",G808-F808)</f>
        <v/>
      </c>
      <c r="I808" s="17">
        <f>IF($A808="","",IF(F808=0,IF(H808=0,0,1),ABS(H808)/F808))</f>
        <v/>
      </c>
      <c r="J808" s="18">
        <f>IF($A808="","",IF($E808="A",$E$1,IF($E808="B",$G$1,$I$1)))</f>
        <v/>
      </c>
      <c r="K808">
        <f>IF($A808="","",IF(H808=0,"MATCH",IF(I808&gt;J808,"RECOUNT","WITHIN TOLERANCE")))</f>
        <v/>
      </c>
      <c r="L808" s="5" t="n"/>
      <c r="M808">
        <f>IF(OR($A808="",$L808=""),"",L808-F808)</f>
        <v/>
      </c>
      <c r="N808" s="5" t="n"/>
      <c r="O808" s="5" t="n"/>
    </row>
    <row r="809">
      <c r="A809">
        <f>IF('Blind Count Entry'!A807="","",'Blind Count Entry'!A807)</f>
        <v/>
      </c>
      <c r="B809" s="16">
        <f>IF($A809="","",'Blind Count Entry'!B807)</f>
        <v/>
      </c>
      <c r="C809">
        <f>IF($A809="","",'Blind Count Entry'!C807)</f>
        <v/>
      </c>
      <c r="D809">
        <f>IF($A809="","",'Blind Count Entry'!D807)</f>
        <v/>
      </c>
      <c r="E809">
        <f>IF($A809="","",IFERROR(INDEX('ABC Analysis'!$F:$F,MATCH($C809,'ABC Analysis'!$A:$A,0)),""))</f>
        <v/>
      </c>
      <c r="F809">
        <f>IF($A809="","",IFERROR(INDEX('Master Inventory'!$E:$E,MATCH($C809,'Master Inventory'!$A:$A,0)),0))</f>
        <v/>
      </c>
      <c r="G809">
        <f>IF($A809="","",'Blind Count Entry'!F807)</f>
        <v/>
      </c>
      <c r="H809">
        <f>IF($A809="","",G809-F809)</f>
        <v/>
      </c>
      <c r="I809" s="17">
        <f>IF($A809="","",IF(F809=0,IF(H809=0,0,1),ABS(H809)/F809))</f>
        <v/>
      </c>
      <c r="J809" s="18">
        <f>IF($A809="","",IF($E809="A",$E$1,IF($E809="B",$G$1,$I$1)))</f>
        <v/>
      </c>
      <c r="K809">
        <f>IF($A809="","",IF(H809=0,"MATCH",IF(I809&gt;J809,"RECOUNT","WITHIN TOLERANCE")))</f>
        <v/>
      </c>
      <c r="L809" s="5" t="n"/>
      <c r="M809">
        <f>IF(OR($A809="",$L809=""),"",L809-F809)</f>
        <v/>
      </c>
      <c r="N809" s="5" t="n"/>
      <c r="O809" s="5" t="n"/>
    </row>
    <row r="810">
      <c r="A810">
        <f>IF('Blind Count Entry'!A808="","",'Blind Count Entry'!A808)</f>
        <v/>
      </c>
      <c r="B810" s="16">
        <f>IF($A810="","",'Blind Count Entry'!B808)</f>
        <v/>
      </c>
      <c r="C810">
        <f>IF($A810="","",'Blind Count Entry'!C808)</f>
        <v/>
      </c>
      <c r="D810">
        <f>IF($A810="","",'Blind Count Entry'!D808)</f>
        <v/>
      </c>
      <c r="E810">
        <f>IF($A810="","",IFERROR(INDEX('ABC Analysis'!$F:$F,MATCH($C810,'ABC Analysis'!$A:$A,0)),""))</f>
        <v/>
      </c>
      <c r="F810">
        <f>IF($A810="","",IFERROR(INDEX('Master Inventory'!$E:$E,MATCH($C810,'Master Inventory'!$A:$A,0)),0))</f>
        <v/>
      </c>
      <c r="G810">
        <f>IF($A810="","",'Blind Count Entry'!F808)</f>
        <v/>
      </c>
      <c r="H810">
        <f>IF($A810="","",G810-F810)</f>
        <v/>
      </c>
      <c r="I810" s="17">
        <f>IF($A810="","",IF(F810=0,IF(H810=0,0,1),ABS(H810)/F810))</f>
        <v/>
      </c>
      <c r="J810" s="18">
        <f>IF($A810="","",IF($E810="A",$E$1,IF($E810="B",$G$1,$I$1)))</f>
        <v/>
      </c>
      <c r="K810">
        <f>IF($A810="","",IF(H810=0,"MATCH",IF(I810&gt;J810,"RECOUNT","WITHIN TOLERANCE")))</f>
        <v/>
      </c>
      <c r="L810" s="5" t="n"/>
      <c r="M810">
        <f>IF(OR($A810="",$L810=""),"",L810-F810)</f>
        <v/>
      </c>
      <c r="N810" s="5" t="n"/>
      <c r="O810" s="5" t="n"/>
    </row>
    <row r="811">
      <c r="A811">
        <f>IF('Blind Count Entry'!A809="","",'Blind Count Entry'!A809)</f>
        <v/>
      </c>
      <c r="B811" s="16">
        <f>IF($A811="","",'Blind Count Entry'!B809)</f>
        <v/>
      </c>
      <c r="C811">
        <f>IF($A811="","",'Blind Count Entry'!C809)</f>
        <v/>
      </c>
      <c r="D811">
        <f>IF($A811="","",'Blind Count Entry'!D809)</f>
        <v/>
      </c>
      <c r="E811">
        <f>IF($A811="","",IFERROR(INDEX('ABC Analysis'!$F:$F,MATCH($C811,'ABC Analysis'!$A:$A,0)),""))</f>
        <v/>
      </c>
      <c r="F811">
        <f>IF($A811="","",IFERROR(INDEX('Master Inventory'!$E:$E,MATCH($C811,'Master Inventory'!$A:$A,0)),0))</f>
        <v/>
      </c>
      <c r="G811">
        <f>IF($A811="","",'Blind Count Entry'!F809)</f>
        <v/>
      </c>
      <c r="H811">
        <f>IF($A811="","",G811-F811)</f>
        <v/>
      </c>
      <c r="I811" s="17">
        <f>IF($A811="","",IF(F811=0,IF(H811=0,0,1),ABS(H811)/F811))</f>
        <v/>
      </c>
      <c r="J811" s="18">
        <f>IF($A811="","",IF($E811="A",$E$1,IF($E811="B",$G$1,$I$1)))</f>
        <v/>
      </c>
      <c r="K811">
        <f>IF($A811="","",IF(H811=0,"MATCH",IF(I811&gt;J811,"RECOUNT","WITHIN TOLERANCE")))</f>
        <v/>
      </c>
      <c r="L811" s="5" t="n"/>
      <c r="M811">
        <f>IF(OR($A811="",$L811=""),"",L811-F811)</f>
        <v/>
      </c>
      <c r="N811" s="5" t="n"/>
      <c r="O811" s="5" t="n"/>
    </row>
    <row r="812">
      <c r="A812">
        <f>IF('Blind Count Entry'!A810="","",'Blind Count Entry'!A810)</f>
        <v/>
      </c>
      <c r="B812" s="16">
        <f>IF($A812="","",'Blind Count Entry'!B810)</f>
        <v/>
      </c>
      <c r="C812">
        <f>IF($A812="","",'Blind Count Entry'!C810)</f>
        <v/>
      </c>
      <c r="D812">
        <f>IF($A812="","",'Blind Count Entry'!D810)</f>
        <v/>
      </c>
      <c r="E812">
        <f>IF($A812="","",IFERROR(INDEX('ABC Analysis'!$F:$F,MATCH($C812,'ABC Analysis'!$A:$A,0)),""))</f>
        <v/>
      </c>
      <c r="F812">
        <f>IF($A812="","",IFERROR(INDEX('Master Inventory'!$E:$E,MATCH($C812,'Master Inventory'!$A:$A,0)),0))</f>
        <v/>
      </c>
      <c r="G812">
        <f>IF($A812="","",'Blind Count Entry'!F810)</f>
        <v/>
      </c>
      <c r="H812">
        <f>IF($A812="","",G812-F812)</f>
        <v/>
      </c>
      <c r="I812" s="17">
        <f>IF($A812="","",IF(F812=0,IF(H812=0,0,1),ABS(H812)/F812))</f>
        <v/>
      </c>
      <c r="J812" s="18">
        <f>IF($A812="","",IF($E812="A",$E$1,IF($E812="B",$G$1,$I$1)))</f>
        <v/>
      </c>
      <c r="K812">
        <f>IF($A812="","",IF(H812=0,"MATCH",IF(I812&gt;J812,"RECOUNT","WITHIN TOLERANCE")))</f>
        <v/>
      </c>
      <c r="L812" s="5" t="n"/>
      <c r="M812">
        <f>IF(OR($A812="",$L812=""),"",L812-F812)</f>
        <v/>
      </c>
      <c r="N812" s="5" t="n"/>
      <c r="O812" s="5" t="n"/>
    </row>
    <row r="813">
      <c r="A813">
        <f>IF('Blind Count Entry'!A811="","",'Blind Count Entry'!A811)</f>
        <v/>
      </c>
      <c r="B813" s="16">
        <f>IF($A813="","",'Blind Count Entry'!B811)</f>
        <v/>
      </c>
      <c r="C813">
        <f>IF($A813="","",'Blind Count Entry'!C811)</f>
        <v/>
      </c>
      <c r="D813">
        <f>IF($A813="","",'Blind Count Entry'!D811)</f>
        <v/>
      </c>
      <c r="E813">
        <f>IF($A813="","",IFERROR(INDEX('ABC Analysis'!$F:$F,MATCH($C813,'ABC Analysis'!$A:$A,0)),""))</f>
        <v/>
      </c>
      <c r="F813">
        <f>IF($A813="","",IFERROR(INDEX('Master Inventory'!$E:$E,MATCH($C813,'Master Inventory'!$A:$A,0)),0))</f>
        <v/>
      </c>
      <c r="G813">
        <f>IF($A813="","",'Blind Count Entry'!F811)</f>
        <v/>
      </c>
      <c r="H813">
        <f>IF($A813="","",G813-F813)</f>
        <v/>
      </c>
      <c r="I813" s="17">
        <f>IF($A813="","",IF(F813=0,IF(H813=0,0,1),ABS(H813)/F813))</f>
        <v/>
      </c>
      <c r="J813" s="18">
        <f>IF($A813="","",IF($E813="A",$E$1,IF($E813="B",$G$1,$I$1)))</f>
        <v/>
      </c>
      <c r="K813">
        <f>IF($A813="","",IF(H813=0,"MATCH",IF(I813&gt;J813,"RECOUNT","WITHIN TOLERANCE")))</f>
        <v/>
      </c>
      <c r="L813" s="5" t="n"/>
      <c r="M813">
        <f>IF(OR($A813="",$L813=""),"",L813-F813)</f>
        <v/>
      </c>
      <c r="N813" s="5" t="n"/>
      <c r="O813" s="5" t="n"/>
    </row>
    <row r="814">
      <c r="A814">
        <f>IF('Blind Count Entry'!A812="","",'Blind Count Entry'!A812)</f>
        <v/>
      </c>
      <c r="B814" s="16">
        <f>IF($A814="","",'Blind Count Entry'!B812)</f>
        <v/>
      </c>
      <c r="C814">
        <f>IF($A814="","",'Blind Count Entry'!C812)</f>
        <v/>
      </c>
      <c r="D814">
        <f>IF($A814="","",'Blind Count Entry'!D812)</f>
        <v/>
      </c>
      <c r="E814">
        <f>IF($A814="","",IFERROR(INDEX('ABC Analysis'!$F:$F,MATCH($C814,'ABC Analysis'!$A:$A,0)),""))</f>
        <v/>
      </c>
      <c r="F814">
        <f>IF($A814="","",IFERROR(INDEX('Master Inventory'!$E:$E,MATCH($C814,'Master Inventory'!$A:$A,0)),0))</f>
        <v/>
      </c>
      <c r="G814">
        <f>IF($A814="","",'Blind Count Entry'!F812)</f>
        <v/>
      </c>
      <c r="H814">
        <f>IF($A814="","",G814-F814)</f>
        <v/>
      </c>
      <c r="I814" s="17">
        <f>IF($A814="","",IF(F814=0,IF(H814=0,0,1),ABS(H814)/F814))</f>
        <v/>
      </c>
      <c r="J814" s="18">
        <f>IF($A814="","",IF($E814="A",$E$1,IF($E814="B",$G$1,$I$1)))</f>
        <v/>
      </c>
      <c r="K814">
        <f>IF($A814="","",IF(H814=0,"MATCH",IF(I814&gt;J814,"RECOUNT","WITHIN TOLERANCE")))</f>
        <v/>
      </c>
      <c r="L814" s="5" t="n"/>
      <c r="M814">
        <f>IF(OR($A814="",$L814=""),"",L814-F814)</f>
        <v/>
      </c>
      <c r="N814" s="5" t="n"/>
      <c r="O814" s="5" t="n"/>
    </row>
    <row r="815">
      <c r="A815">
        <f>IF('Blind Count Entry'!A813="","",'Blind Count Entry'!A813)</f>
        <v/>
      </c>
      <c r="B815" s="16">
        <f>IF($A815="","",'Blind Count Entry'!B813)</f>
        <v/>
      </c>
      <c r="C815">
        <f>IF($A815="","",'Blind Count Entry'!C813)</f>
        <v/>
      </c>
      <c r="D815">
        <f>IF($A815="","",'Blind Count Entry'!D813)</f>
        <v/>
      </c>
      <c r="E815">
        <f>IF($A815="","",IFERROR(INDEX('ABC Analysis'!$F:$F,MATCH($C815,'ABC Analysis'!$A:$A,0)),""))</f>
        <v/>
      </c>
      <c r="F815">
        <f>IF($A815="","",IFERROR(INDEX('Master Inventory'!$E:$E,MATCH($C815,'Master Inventory'!$A:$A,0)),0))</f>
        <v/>
      </c>
      <c r="G815">
        <f>IF($A815="","",'Blind Count Entry'!F813)</f>
        <v/>
      </c>
      <c r="H815">
        <f>IF($A815="","",G815-F815)</f>
        <v/>
      </c>
      <c r="I815" s="17">
        <f>IF($A815="","",IF(F815=0,IF(H815=0,0,1),ABS(H815)/F815))</f>
        <v/>
      </c>
      <c r="J815" s="18">
        <f>IF($A815="","",IF($E815="A",$E$1,IF($E815="B",$G$1,$I$1)))</f>
        <v/>
      </c>
      <c r="K815">
        <f>IF($A815="","",IF(H815=0,"MATCH",IF(I815&gt;J815,"RECOUNT","WITHIN TOLERANCE")))</f>
        <v/>
      </c>
      <c r="L815" s="5" t="n"/>
      <c r="M815">
        <f>IF(OR($A815="",$L815=""),"",L815-F815)</f>
        <v/>
      </c>
      <c r="N815" s="5" t="n"/>
      <c r="O815" s="5" t="n"/>
    </row>
    <row r="816">
      <c r="A816">
        <f>IF('Blind Count Entry'!A814="","",'Blind Count Entry'!A814)</f>
        <v/>
      </c>
      <c r="B816" s="16">
        <f>IF($A816="","",'Blind Count Entry'!B814)</f>
        <v/>
      </c>
      <c r="C816">
        <f>IF($A816="","",'Blind Count Entry'!C814)</f>
        <v/>
      </c>
      <c r="D816">
        <f>IF($A816="","",'Blind Count Entry'!D814)</f>
        <v/>
      </c>
      <c r="E816">
        <f>IF($A816="","",IFERROR(INDEX('ABC Analysis'!$F:$F,MATCH($C816,'ABC Analysis'!$A:$A,0)),""))</f>
        <v/>
      </c>
      <c r="F816">
        <f>IF($A816="","",IFERROR(INDEX('Master Inventory'!$E:$E,MATCH($C816,'Master Inventory'!$A:$A,0)),0))</f>
        <v/>
      </c>
      <c r="G816">
        <f>IF($A816="","",'Blind Count Entry'!F814)</f>
        <v/>
      </c>
      <c r="H816">
        <f>IF($A816="","",G816-F816)</f>
        <v/>
      </c>
      <c r="I816" s="17">
        <f>IF($A816="","",IF(F816=0,IF(H816=0,0,1),ABS(H816)/F816))</f>
        <v/>
      </c>
      <c r="J816" s="18">
        <f>IF($A816="","",IF($E816="A",$E$1,IF($E816="B",$G$1,$I$1)))</f>
        <v/>
      </c>
      <c r="K816">
        <f>IF($A816="","",IF(H816=0,"MATCH",IF(I816&gt;J816,"RECOUNT","WITHIN TOLERANCE")))</f>
        <v/>
      </c>
      <c r="L816" s="5" t="n"/>
      <c r="M816">
        <f>IF(OR($A816="",$L816=""),"",L816-F816)</f>
        <v/>
      </c>
      <c r="N816" s="5" t="n"/>
      <c r="O816" s="5" t="n"/>
    </row>
    <row r="817">
      <c r="A817">
        <f>IF('Blind Count Entry'!A815="","",'Blind Count Entry'!A815)</f>
        <v/>
      </c>
      <c r="B817" s="16">
        <f>IF($A817="","",'Blind Count Entry'!B815)</f>
        <v/>
      </c>
      <c r="C817">
        <f>IF($A817="","",'Blind Count Entry'!C815)</f>
        <v/>
      </c>
      <c r="D817">
        <f>IF($A817="","",'Blind Count Entry'!D815)</f>
        <v/>
      </c>
      <c r="E817">
        <f>IF($A817="","",IFERROR(INDEX('ABC Analysis'!$F:$F,MATCH($C817,'ABC Analysis'!$A:$A,0)),""))</f>
        <v/>
      </c>
      <c r="F817">
        <f>IF($A817="","",IFERROR(INDEX('Master Inventory'!$E:$E,MATCH($C817,'Master Inventory'!$A:$A,0)),0))</f>
        <v/>
      </c>
      <c r="G817">
        <f>IF($A817="","",'Blind Count Entry'!F815)</f>
        <v/>
      </c>
      <c r="H817">
        <f>IF($A817="","",G817-F817)</f>
        <v/>
      </c>
      <c r="I817" s="17">
        <f>IF($A817="","",IF(F817=0,IF(H817=0,0,1),ABS(H817)/F817))</f>
        <v/>
      </c>
      <c r="J817" s="18">
        <f>IF($A817="","",IF($E817="A",$E$1,IF($E817="B",$G$1,$I$1)))</f>
        <v/>
      </c>
      <c r="K817">
        <f>IF($A817="","",IF(H817=0,"MATCH",IF(I817&gt;J817,"RECOUNT","WITHIN TOLERANCE")))</f>
        <v/>
      </c>
      <c r="L817" s="5" t="n"/>
      <c r="M817">
        <f>IF(OR($A817="",$L817=""),"",L817-F817)</f>
        <v/>
      </c>
      <c r="N817" s="5" t="n"/>
      <c r="O817" s="5" t="n"/>
    </row>
    <row r="818">
      <c r="A818">
        <f>IF('Blind Count Entry'!A816="","",'Blind Count Entry'!A816)</f>
        <v/>
      </c>
      <c r="B818" s="16">
        <f>IF($A818="","",'Blind Count Entry'!B816)</f>
        <v/>
      </c>
      <c r="C818">
        <f>IF($A818="","",'Blind Count Entry'!C816)</f>
        <v/>
      </c>
      <c r="D818">
        <f>IF($A818="","",'Blind Count Entry'!D816)</f>
        <v/>
      </c>
      <c r="E818">
        <f>IF($A818="","",IFERROR(INDEX('ABC Analysis'!$F:$F,MATCH($C818,'ABC Analysis'!$A:$A,0)),""))</f>
        <v/>
      </c>
      <c r="F818">
        <f>IF($A818="","",IFERROR(INDEX('Master Inventory'!$E:$E,MATCH($C818,'Master Inventory'!$A:$A,0)),0))</f>
        <v/>
      </c>
      <c r="G818">
        <f>IF($A818="","",'Blind Count Entry'!F816)</f>
        <v/>
      </c>
      <c r="H818">
        <f>IF($A818="","",G818-F818)</f>
        <v/>
      </c>
      <c r="I818" s="17">
        <f>IF($A818="","",IF(F818=0,IF(H818=0,0,1),ABS(H818)/F818))</f>
        <v/>
      </c>
      <c r="J818" s="18">
        <f>IF($A818="","",IF($E818="A",$E$1,IF($E818="B",$G$1,$I$1)))</f>
        <v/>
      </c>
      <c r="K818">
        <f>IF($A818="","",IF(H818=0,"MATCH",IF(I818&gt;J818,"RECOUNT","WITHIN TOLERANCE")))</f>
        <v/>
      </c>
      <c r="L818" s="5" t="n"/>
      <c r="M818">
        <f>IF(OR($A818="",$L818=""),"",L818-F818)</f>
        <v/>
      </c>
      <c r="N818" s="5" t="n"/>
      <c r="O818" s="5" t="n"/>
    </row>
    <row r="819">
      <c r="A819">
        <f>IF('Blind Count Entry'!A817="","",'Blind Count Entry'!A817)</f>
        <v/>
      </c>
      <c r="B819" s="16">
        <f>IF($A819="","",'Blind Count Entry'!B817)</f>
        <v/>
      </c>
      <c r="C819">
        <f>IF($A819="","",'Blind Count Entry'!C817)</f>
        <v/>
      </c>
      <c r="D819">
        <f>IF($A819="","",'Blind Count Entry'!D817)</f>
        <v/>
      </c>
      <c r="E819">
        <f>IF($A819="","",IFERROR(INDEX('ABC Analysis'!$F:$F,MATCH($C819,'ABC Analysis'!$A:$A,0)),""))</f>
        <v/>
      </c>
      <c r="F819">
        <f>IF($A819="","",IFERROR(INDEX('Master Inventory'!$E:$E,MATCH($C819,'Master Inventory'!$A:$A,0)),0))</f>
        <v/>
      </c>
      <c r="G819">
        <f>IF($A819="","",'Blind Count Entry'!F817)</f>
        <v/>
      </c>
      <c r="H819">
        <f>IF($A819="","",G819-F819)</f>
        <v/>
      </c>
      <c r="I819" s="17">
        <f>IF($A819="","",IF(F819=0,IF(H819=0,0,1),ABS(H819)/F819))</f>
        <v/>
      </c>
      <c r="J819" s="18">
        <f>IF($A819="","",IF($E819="A",$E$1,IF($E819="B",$G$1,$I$1)))</f>
        <v/>
      </c>
      <c r="K819">
        <f>IF($A819="","",IF(H819=0,"MATCH",IF(I819&gt;J819,"RECOUNT","WITHIN TOLERANCE")))</f>
        <v/>
      </c>
      <c r="L819" s="5" t="n"/>
      <c r="M819">
        <f>IF(OR($A819="",$L819=""),"",L819-F819)</f>
        <v/>
      </c>
      <c r="N819" s="5" t="n"/>
      <c r="O819" s="5" t="n"/>
    </row>
    <row r="820">
      <c r="A820">
        <f>IF('Blind Count Entry'!A818="","",'Blind Count Entry'!A818)</f>
        <v/>
      </c>
      <c r="B820" s="16">
        <f>IF($A820="","",'Blind Count Entry'!B818)</f>
        <v/>
      </c>
      <c r="C820">
        <f>IF($A820="","",'Blind Count Entry'!C818)</f>
        <v/>
      </c>
      <c r="D820">
        <f>IF($A820="","",'Blind Count Entry'!D818)</f>
        <v/>
      </c>
      <c r="E820">
        <f>IF($A820="","",IFERROR(INDEX('ABC Analysis'!$F:$F,MATCH($C820,'ABC Analysis'!$A:$A,0)),""))</f>
        <v/>
      </c>
      <c r="F820">
        <f>IF($A820="","",IFERROR(INDEX('Master Inventory'!$E:$E,MATCH($C820,'Master Inventory'!$A:$A,0)),0))</f>
        <v/>
      </c>
      <c r="G820">
        <f>IF($A820="","",'Blind Count Entry'!F818)</f>
        <v/>
      </c>
      <c r="H820">
        <f>IF($A820="","",G820-F820)</f>
        <v/>
      </c>
      <c r="I820" s="17">
        <f>IF($A820="","",IF(F820=0,IF(H820=0,0,1),ABS(H820)/F820))</f>
        <v/>
      </c>
      <c r="J820" s="18">
        <f>IF($A820="","",IF($E820="A",$E$1,IF($E820="B",$G$1,$I$1)))</f>
        <v/>
      </c>
      <c r="K820">
        <f>IF($A820="","",IF(H820=0,"MATCH",IF(I820&gt;J820,"RECOUNT","WITHIN TOLERANCE")))</f>
        <v/>
      </c>
      <c r="L820" s="5" t="n"/>
      <c r="M820">
        <f>IF(OR($A820="",$L820=""),"",L820-F820)</f>
        <v/>
      </c>
      <c r="N820" s="5" t="n"/>
      <c r="O820" s="5" t="n"/>
    </row>
    <row r="821">
      <c r="A821">
        <f>IF('Blind Count Entry'!A819="","",'Blind Count Entry'!A819)</f>
        <v/>
      </c>
      <c r="B821" s="16">
        <f>IF($A821="","",'Blind Count Entry'!B819)</f>
        <v/>
      </c>
      <c r="C821">
        <f>IF($A821="","",'Blind Count Entry'!C819)</f>
        <v/>
      </c>
      <c r="D821">
        <f>IF($A821="","",'Blind Count Entry'!D819)</f>
        <v/>
      </c>
      <c r="E821">
        <f>IF($A821="","",IFERROR(INDEX('ABC Analysis'!$F:$F,MATCH($C821,'ABC Analysis'!$A:$A,0)),""))</f>
        <v/>
      </c>
      <c r="F821">
        <f>IF($A821="","",IFERROR(INDEX('Master Inventory'!$E:$E,MATCH($C821,'Master Inventory'!$A:$A,0)),0))</f>
        <v/>
      </c>
      <c r="G821">
        <f>IF($A821="","",'Blind Count Entry'!F819)</f>
        <v/>
      </c>
      <c r="H821">
        <f>IF($A821="","",G821-F821)</f>
        <v/>
      </c>
      <c r="I821" s="17">
        <f>IF($A821="","",IF(F821=0,IF(H821=0,0,1),ABS(H821)/F821))</f>
        <v/>
      </c>
      <c r="J821" s="18">
        <f>IF($A821="","",IF($E821="A",$E$1,IF($E821="B",$G$1,$I$1)))</f>
        <v/>
      </c>
      <c r="K821">
        <f>IF($A821="","",IF(H821=0,"MATCH",IF(I821&gt;J821,"RECOUNT","WITHIN TOLERANCE")))</f>
        <v/>
      </c>
      <c r="L821" s="5" t="n"/>
      <c r="M821">
        <f>IF(OR($A821="",$L821=""),"",L821-F821)</f>
        <v/>
      </c>
      <c r="N821" s="5" t="n"/>
      <c r="O821" s="5" t="n"/>
    </row>
    <row r="822">
      <c r="A822">
        <f>IF('Blind Count Entry'!A820="","",'Blind Count Entry'!A820)</f>
        <v/>
      </c>
      <c r="B822" s="16">
        <f>IF($A822="","",'Blind Count Entry'!B820)</f>
        <v/>
      </c>
      <c r="C822">
        <f>IF($A822="","",'Blind Count Entry'!C820)</f>
        <v/>
      </c>
      <c r="D822">
        <f>IF($A822="","",'Blind Count Entry'!D820)</f>
        <v/>
      </c>
      <c r="E822">
        <f>IF($A822="","",IFERROR(INDEX('ABC Analysis'!$F:$F,MATCH($C822,'ABC Analysis'!$A:$A,0)),""))</f>
        <v/>
      </c>
      <c r="F822">
        <f>IF($A822="","",IFERROR(INDEX('Master Inventory'!$E:$E,MATCH($C822,'Master Inventory'!$A:$A,0)),0))</f>
        <v/>
      </c>
      <c r="G822">
        <f>IF($A822="","",'Blind Count Entry'!F820)</f>
        <v/>
      </c>
      <c r="H822">
        <f>IF($A822="","",G822-F822)</f>
        <v/>
      </c>
      <c r="I822" s="17">
        <f>IF($A822="","",IF(F822=0,IF(H822=0,0,1),ABS(H822)/F822))</f>
        <v/>
      </c>
      <c r="J822" s="18">
        <f>IF($A822="","",IF($E822="A",$E$1,IF($E822="B",$G$1,$I$1)))</f>
        <v/>
      </c>
      <c r="K822">
        <f>IF($A822="","",IF(H822=0,"MATCH",IF(I822&gt;J822,"RECOUNT","WITHIN TOLERANCE")))</f>
        <v/>
      </c>
      <c r="L822" s="5" t="n"/>
      <c r="M822">
        <f>IF(OR($A822="",$L822=""),"",L822-F822)</f>
        <v/>
      </c>
      <c r="N822" s="5" t="n"/>
      <c r="O822" s="5" t="n"/>
    </row>
    <row r="823">
      <c r="A823">
        <f>IF('Blind Count Entry'!A821="","",'Blind Count Entry'!A821)</f>
        <v/>
      </c>
      <c r="B823" s="16">
        <f>IF($A823="","",'Blind Count Entry'!B821)</f>
        <v/>
      </c>
      <c r="C823">
        <f>IF($A823="","",'Blind Count Entry'!C821)</f>
        <v/>
      </c>
      <c r="D823">
        <f>IF($A823="","",'Blind Count Entry'!D821)</f>
        <v/>
      </c>
      <c r="E823">
        <f>IF($A823="","",IFERROR(INDEX('ABC Analysis'!$F:$F,MATCH($C823,'ABC Analysis'!$A:$A,0)),""))</f>
        <v/>
      </c>
      <c r="F823">
        <f>IF($A823="","",IFERROR(INDEX('Master Inventory'!$E:$E,MATCH($C823,'Master Inventory'!$A:$A,0)),0))</f>
        <v/>
      </c>
      <c r="G823">
        <f>IF($A823="","",'Blind Count Entry'!F821)</f>
        <v/>
      </c>
      <c r="H823">
        <f>IF($A823="","",G823-F823)</f>
        <v/>
      </c>
      <c r="I823" s="17">
        <f>IF($A823="","",IF(F823=0,IF(H823=0,0,1),ABS(H823)/F823))</f>
        <v/>
      </c>
      <c r="J823" s="18">
        <f>IF($A823="","",IF($E823="A",$E$1,IF($E823="B",$G$1,$I$1)))</f>
        <v/>
      </c>
      <c r="K823">
        <f>IF($A823="","",IF(H823=0,"MATCH",IF(I823&gt;J823,"RECOUNT","WITHIN TOLERANCE")))</f>
        <v/>
      </c>
      <c r="L823" s="5" t="n"/>
      <c r="M823">
        <f>IF(OR($A823="",$L823=""),"",L823-F823)</f>
        <v/>
      </c>
      <c r="N823" s="5" t="n"/>
      <c r="O823" s="5" t="n"/>
    </row>
    <row r="824">
      <c r="A824">
        <f>IF('Blind Count Entry'!A822="","",'Blind Count Entry'!A822)</f>
        <v/>
      </c>
      <c r="B824" s="16">
        <f>IF($A824="","",'Blind Count Entry'!B822)</f>
        <v/>
      </c>
      <c r="C824">
        <f>IF($A824="","",'Blind Count Entry'!C822)</f>
        <v/>
      </c>
      <c r="D824">
        <f>IF($A824="","",'Blind Count Entry'!D822)</f>
        <v/>
      </c>
      <c r="E824">
        <f>IF($A824="","",IFERROR(INDEX('ABC Analysis'!$F:$F,MATCH($C824,'ABC Analysis'!$A:$A,0)),""))</f>
        <v/>
      </c>
      <c r="F824">
        <f>IF($A824="","",IFERROR(INDEX('Master Inventory'!$E:$E,MATCH($C824,'Master Inventory'!$A:$A,0)),0))</f>
        <v/>
      </c>
      <c r="G824">
        <f>IF($A824="","",'Blind Count Entry'!F822)</f>
        <v/>
      </c>
      <c r="H824">
        <f>IF($A824="","",G824-F824)</f>
        <v/>
      </c>
      <c r="I824" s="17">
        <f>IF($A824="","",IF(F824=0,IF(H824=0,0,1),ABS(H824)/F824))</f>
        <v/>
      </c>
      <c r="J824" s="18">
        <f>IF($A824="","",IF($E824="A",$E$1,IF($E824="B",$G$1,$I$1)))</f>
        <v/>
      </c>
      <c r="K824">
        <f>IF($A824="","",IF(H824=0,"MATCH",IF(I824&gt;J824,"RECOUNT","WITHIN TOLERANCE")))</f>
        <v/>
      </c>
      <c r="L824" s="5" t="n"/>
      <c r="M824">
        <f>IF(OR($A824="",$L824=""),"",L824-F824)</f>
        <v/>
      </c>
      <c r="N824" s="5" t="n"/>
      <c r="O824" s="5" t="n"/>
    </row>
    <row r="825">
      <c r="A825">
        <f>IF('Blind Count Entry'!A823="","",'Blind Count Entry'!A823)</f>
        <v/>
      </c>
      <c r="B825" s="16">
        <f>IF($A825="","",'Blind Count Entry'!B823)</f>
        <v/>
      </c>
      <c r="C825">
        <f>IF($A825="","",'Blind Count Entry'!C823)</f>
        <v/>
      </c>
      <c r="D825">
        <f>IF($A825="","",'Blind Count Entry'!D823)</f>
        <v/>
      </c>
      <c r="E825">
        <f>IF($A825="","",IFERROR(INDEX('ABC Analysis'!$F:$F,MATCH($C825,'ABC Analysis'!$A:$A,0)),""))</f>
        <v/>
      </c>
      <c r="F825">
        <f>IF($A825="","",IFERROR(INDEX('Master Inventory'!$E:$E,MATCH($C825,'Master Inventory'!$A:$A,0)),0))</f>
        <v/>
      </c>
      <c r="G825">
        <f>IF($A825="","",'Blind Count Entry'!F823)</f>
        <v/>
      </c>
      <c r="H825">
        <f>IF($A825="","",G825-F825)</f>
        <v/>
      </c>
      <c r="I825" s="17">
        <f>IF($A825="","",IF(F825=0,IF(H825=0,0,1),ABS(H825)/F825))</f>
        <v/>
      </c>
      <c r="J825" s="18">
        <f>IF($A825="","",IF($E825="A",$E$1,IF($E825="B",$G$1,$I$1)))</f>
        <v/>
      </c>
      <c r="K825">
        <f>IF($A825="","",IF(H825=0,"MATCH",IF(I825&gt;J825,"RECOUNT","WITHIN TOLERANCE")))</f>
        <v/>
      </c>
      <c r="L825" s="5" t="n"/>
      <c r="M825">
        <f>IF(OR($A825="",$L825=""),"",L825-F825)</f>
        <v/>
      </c>
      <c r="N825" s="5" t="n"/>
      <c r="O825" s="5" t="n"/>
    </row>
    <row r="826">
      <c r="A826">
        <f>IF('Blind Count Entry'!A824="","",'Blind Count Entry'!A824)</f>
        <v/>
      </c>
      <c r="B826" s="16">
        <f>IF($A826="","",'Blind Count Entry'!B824)</f>
        <v/>
      </c>
      <c r="C826">
        <f>IF($A826="","",'Blind Count Entry'!C824)</f>
        <v/>
      </c>
      <c r="D826">
        <f>IF($A826="","",'Blind Count Entry'!D824)</f>
        <v/>
      </c>
      <c r="E826">
        <f>IF($A826="","",IFERROR(INDEX('ABC Analysis'!$F:$F,MATCH($C826,'ABC Analysis'!$A:$A,0)),""))</f>
        <v/>
      </c>
      <c r="F826">
        <f>IF($A826="","",IFERROR(INDEX('Master Inventory'!$E:$E,MATCH($C826,'Master Inventory'!$A:$A,0)),0))</f>
        <v/>
      </c>
      <c r="G826">
        <f>IF($A826="","",'Blind Count Entry'!F824)</f>
        <v/>
      </c>
      <c r="H826">
        <f>IF($A826="","",G826-F826)</f>
        <v/>
      </c>
      <c r="I826" s="17">
        <f>IF($A826="","",IF(F826=0,IF(H826=0,0,1),ABS(H826)/F826))</f>
        <v/>
      </c>
      <c r="J826" s="18">
        <f>IF($A826="","",IF($E826="A",$E$1,IF($E826="B",$G$1,$I$1)))</f>
        <v/>
      </c>
      <c r="K826">
        <f>IF($A826="","",IF(H826=0,"MATCH",IF(I826&gt;J826,"RECOUNT","WITHIN TOLERANCE")))</f>
        <v/>
      </c>
      <c r="L826" s="5" t="n"/>
      <c r="M826">
        <f>IF(OR($A826="",$L826=""),"",L826-F826)</f>
        <v/>
      </c>
      <c r="N826" s="5" t="n"/>
      <c r="O826" s="5" t="n"/>
    </row>
    <row r="827">
      <c r="A827">
        <f>IF('Blind Count Entry'!A825="","",'Blind Count Entry'!A825)</f>
        <v/>
      </c>
      <c r="B827" s="16">
        <f>IF($A827="","",'Blind Count Entry'!B825)</f>
        <v/>
      </c>
      <c r="C827">
        <f>IF($A827="","",'Blind Count Entry'!C825)</f>
        <v/>
      </c>
      <c r="D827">
        <f>IF($A827="","",'Blind Count Entry'!D825)</f>
        <v/>
      </c>
      <c r="E827">
        <f>IF($A827="","",IFERROR(INDEX('ABC Analysis'!$F:$F,MATCH($C827,'ABC Analysis'!$A:$A,0)),""))</f>
        <v/>
      </c>
      <c r="F827">
        <f>IF($A827="","",IFERROR(INDEX('Master Inventory'!$E:$E,MATCH($C827,'Master Inventory'!$A:$A,0)),0))</f>
        <v/>
      </c>
      <c r="G827">
        <f>IF($A827="","",'Blind Count Entry'!F825)</f>
        <v/>
      </c>
      <c r="H827">
        <f>IF($A827="","",G827-F827)</f>
        <v/>
      </c>
      <c r="I827" s="17">
        <f>IF($A827="","",IF(F827=0,IF(H827=0,0,1),ABS(H827)/F827))</f>
        <v/>
      </c>
      <c r="J827" s="18">
        <f>IF($A827="","",IF($E827="A",$E$1,IF($E827="B",$G$1,$I$1)))</f>
        <v/>
      </c>
      <c r="K827">
        <f>IF($A827="","",IF(H827=0,"MATCH",IF(I827&gt;J827,"RECOUNT","WITHIN TOLERANCE")))</f>
        <v/>
      </c>
      <c r="L827" s="5" t="n"/>
      <c r="M827">
        <f>IF(OR($A827="",$L827=""),"",L827-F827)</f>
        <v/>
      </c>
      <c r="N827" s="5" t="n"/>
      <c r="O827" s="5" t="n"/>
    </row>
    <row r="828">
      <c r="A828">
        <f>IF('Blind Count Entry'!A826="","",'Blind Count Entry'!A826)</f>
        <v/>
      </c>
      <c r="B828" s="16">
        <f>IF($A828="","",'Blind Count Entry'!B826)</f>
        <v/>
      </c>
      <c r="C828">
        <f>IF($A828="","",'Blind Count Entry'!C826)</f>
        <v/>
      </c>
      <c r="D828">
        <f>IF($A828="","",'Blind Count Entry'!D826)</f>
        <v/>
      </c>
      <c r="E828">
        <f>IF($A828="","",IFERROR(INDEX('ABC Analysis'!$F:$F,MATCH($C828,'ABC Analysis'!$A:$A,0)),""))</f>
        <v/>
      </c>
      <c r="F828">
        <f>IF($A828="","",IFERROR(INDEX('Master Inventory'!$E:$E,MATCH($C828,'Master Inventory'!$A:$A,0)),0))</f>
        <v/>
      </c>
      <c r="G828">
        <f>IF($A828="","",'Blind Count Entry'!F826)</f>
        <v/>
      </c>
      <c r="H828">
        <f>IF($A828="","",G828-F828)</f>
        <v/>
      </c>
      <c r="I828" s="17">
        <f>IF($A828="","",IF(F828=0,IF(H828=0,0,1),ABS(H828)/F828))</f>
        <v/>
      </c>
      <c r="J828" s="18">
        <f>IF($A828="","",IF($E828="A",$E$1,IF($E828="B",$G$1,$I$1)))</f>
        <v/>
      </c>
      <c r="K828">
        <f>IF($A828="","",IF(H828=0,"MATCH",IF(I828&gt;J828,"RECOUNT","WITHIN TOLERANCE")))</f>
        <v/>
      </c>
      <c r="L828" s="5" t="n"/>
      <c r="M828">
        <f>IF(OR($A828="",$L828=""),"",L828-F828)</f>
        <v/>
      </c>
      <c r="N828" s="5" t="n"/>
      <c r="O828" s="5" t="n"/>
    </row>
    <row r="829">
      <c r="A829">
        <f>IF('Blind Count Entry'!A827="","",'Blind Count Entry'!A827)</f>
        <v/>
      </c>
      <c r="B829" s="16">
        <f>IF($A829="","",'Blind Count Entry'!B827)</f>
        <v/>
      </c>
      <c r="C829">
        <f>IF($A829="","",'Blind Count Entry'!C827)</f>
        <v/>
      </c>
      <c r="D829">
        <f>IF($A829="","",'Blind Count Entry'!D827)</f>
        <v/>
      </c>
      <c r="E829">
        <f>IF($A829="","",IFERROR(INDEX('ABC Analysis'!$F:$F,MATCH($C829,'ABC Analysis'!$A:$A,0)),""))</f>
        <v/>
      </c>
      <c r="F829">
        <f>IF($A829="","",IFERROR(INDEX('Master Inventory'!$E:$E,MATCH($C829,'Master Inventory'!$A:$A,0)),0))</f>
        <v/>
      </c>
      <c r="G829">
        <f>IF($A829="","",'Blind Count Entry'!F827)</f>
        <v/>
      </c>
      <c r="H829">
        <f>IF($A829="","",G829-F829)</f>
        <v/>
      </c>
      <c r="I829" s="17">
        <f>IF($A829="","",IF(F829=0,IF(H829=0,0,1),ABS(H829)/F829))</f>
        <v/>
      </c>
      <c r="J829" s="18">
        <f>IF($A829="","",IF($E829="A",$E$1,IF($E829="B",$G$1,$I$1)))</f>
        <v/>
      </c>
      <c r="K829">
        <f>IF($A829="","",IF(H829=0,"MATCH",IF(I829&gt;J829,"RECOUNT","WITHIN TOLERANCE")))</f>
        <v/>
      </c>
      <c r="L829" s="5" t="n"/>
      <c r="M829">
        <f>IF(OR($A829="",$L829=""),"",L829-F829)</f>
        <v/>
      </c>
      <c r="N829" s="5" t="n"/>
      <c r="O829" s="5" t="n"/>
    </row>
    <row r="830">
      <c r="A830">
        <f>IF('Blind Count Entry'!A828="","",'Blind Count Entry'!A828)</f>
        <v/>
      </c>
      <c r="B830" s="16">
        <f>IF($A830="","",'Blind Count Entry'!B828)</f>
        <v/>
      </c>
      <c r="C830">
        <f>IF($A830="","",'Blind Count Entry'!C828)</f>
        <v/>
      </c>
      <c r="D830">
        <f>IF($A830="","",'Blind Count Entry'!D828)</f>
        <v/>
      </c>
      <c r="E830">
        <f>IF($A830="","",IFERROR(INDEX('ABC Analysis'!$F:$F,MATCH($C830,'ABC Analysis'!$A:$A,0)),""))</f>
        <v/>
      </c>
      <c r="F830">
        <f>IF($A830="","",IFERROR(INDEX('Master Inventory'!$E:$E,MATCH($C830,'Master Inventory'!$A:$A,0)),0))</f>
        <v/>
      </c>
      <c r="G830">
        <f>IF($A830="","",'Blind Count Entry'!F828)</f>
        <v/>
      </c>
      <c r="H830">
        <f>IF($A830="","",G830-F830)</f>
        <v/>
      </c>
      <c r="I830" s="17">
        <f>IF($A830="","",IF(F830=0,IF(H830=0,0,1),ABS(H830)/F830))</f>
        <v/>
      </c>
      <c r="J830" s="18">
        <f>IF($A830="","",IF($E830="A",$E$1,IF($E830="B",$G$1,$I$1)))</f>
        <v/>
      </c>
      <c r="K830">
        <f>IF($A830="","",IF(H830=0,"MATCH",IF(I830&gt;J830,"RECOUNT","WITHIN TOLERANCE")))</f>
        <v/>
      </c>
      <c r="L830" s="5" t="n"/>
      <c r="M830">
        <f>IF(OR($A830="",$L830=""),"",L830-F830)</f>
        <v/>
      </c>
      <c r="N830" s="5" t="n"/>
      <c r="O830" s="5" t="n"/>
    </row>
    <row r="831">
      <c r="A831">
        <f>IF('Blind Count Entry'!A829="","",'Blind Count Entry'!A829)</f>
        <v/>
      </c>
      <c r="B831" s="16">
        <f>IF($A831="","",'Blind Count Entry'!B829)</f>
        <v/>
      </c>
      <c r="C831">
        <f>IF($A831="","",'Blind Count Entry'!C829)</f>
        <v/>
      </c>
      <c r="D831">
        <f>IF($A831="","",'Blind Count Entry'!D829)</f>
        <v/>
      </c>
      <c r="E831">
        <f>IF($A831="","",IFERROR(INDEX('ABC Analysis'!$F:$F,MATCH($C831,'ABC Analysis'!$A:$A,0)),""))</f>
        <v/>
      </c>
      <c r="F831">
        <f>IF($A831="","",IFERROR(INDEX('Master Inventory'!$E:$E,MATCH($C831,'Master Inventory'!$A:$A,0)),0))</f>
        <v/>
      </c>
      <c r="G831">
        <f>IF($A831="","",'Blind Count Entry'!F829)</f>
        <v/>
      </c>
      <c r="H831">
        <f>IF($A831="","",G831-F831)</f>
        <v/>
      </c>
      <c r="I831" s="17">
        <f>IF($A831="","",IF(F831=0,IF(H831=0,0,1),ABS(H831)/F831))</f>
        <v/>
      </c>
      <c r="J831" s="18">
        <f>IF($A831="","",IF($E831="A",$E$1,IF($E831="B",$G$1,$I$1)))</f>
        <v/>
      </c>
      <c r="K831">
        <f>IF($A831="","",IF(H831=0,"MATCH",IF(I831&gt;J831,"RECOUNT","WITHIN TOLERANCE")))</f>
        <v/>
      </c>
      <c r="L831" s="5" t="n"/>
      <c r="M831">
        <f>IF(OR($A831="",$L831=""),"",L831-F831)</f>
        <v/>
      </c>
      <c r="N831" s="5" t="n"/>
      <c r="O831" s="5" t="n"/>
    </row>
    <row r="832">
      <c r="A832">
        <f>IF('Blind Count Entry'!A830="","",'Blind Count Entry'!A830)</f>
        <v/>
      </c>
      <c r="B832" s="16">
        <f>IF($A832="","",'Blind Count Entry'!B830)</f>
        <v/>
      </c>
      <c r="C832">
        <f>IF($A832="","",'Blind Count Entry'!C830)</f>
        <v/>
      </c>
      <c r="D832">
        <f>IF($A832="","",'Blind Count Entry'!D830)</f>
        <v/>
      </c>
      <c r="E832">
        <f>IF($A832="","",IFERROR(INDEX('ABC Analysis'!$F:$F,MATCH($C832,'ABC Analysis'!$A:$A,0)),""))</f>
        <v/>
      </c>
      <c r="F832">
        <f>IF($A832="","",IFERROR(INDEX('Master Inventory'!$E:$E,MATCH($C832,'Master Inventory'!$A:$A,0)),0))</f>
        <v/>
      </c>
      <c r="G832">
        <f>IF($A832="","",'Blind Count Entry'!F830)</f>
        <v/>
      </c>
      <c r="H832">
        <f>IF($A832="","",G832-F832)</f>
        <v/>
      </c>
      <c r="I832" s="17">
        <f>IF($A832="","",IF(F832=0,IF(H832=0,0,1),ABS(H832)/F832))</f>
        <v/>
      </c>
      <c r="J832" s="18">
        <f>IF($A832="","",IF($E832="A",$E$1,IF($E832="B",$G$1,$I$1)))</f>
        <v/>
      </c>
      <c r="K832">
        <f>IF($A832="","",IF(H832=0,"MATCH",IF(I832&gt;J832,"RECOUNT","WITHIN TOLERANCE")))</f>
        <v/>
      </c>
      <c r="L832" s="5" t="n"/>
      <c r="M832">
        <f>IF(OR($A832="",$L832=""),"",L832-F832)</f>
        <v/>
      </c>
      <c r="N832" s="5" t="n"/>
      <c r="O832" s="5" t="n"/>
    </row>
    <row r="833">
      <c r="A833">
        <f>IF('Blind Count Entry'!A831="","",'Blind Count Entry'!A831)</f>
        <v/>
      </c>
      <c r="B833" s="16">
        <f>IF($A833="","",'Blind Count Entry'!B831)</f>
        <v/>
      </c>
      <c r="C833">
        <f>IF($A833="","",'Blind Count Entry'!C831)</f>
        <v/>
      </c>
      <c r="D833">
        <f>IF($A833="","",'Blind Count Entry'!D831)</f>
        <v/>
      </c>
      <c r="E833">
        <f>IF($A833="","",IFERROR(INDEX('ABC Analysis'!$F:$F,MATCH($C833,'ABC Analysis'!$A:$A,0)),""))</f>
        <v/>
      </c>
      <c r="F833">
        <f>IF($A833="","",IFERROR(INDEX('Master Inventory'!$E:$E,MATCH($C833,'Master Inventory'!$A:$A,0)),0))</f>
        <v/>
      </c>
      <c r="G833">
        <f>IF($A833="","",'Blind Count Entry'!F831)</f>
        <v/>
      </c>
      <c r="H833">
        <f>IF($A833="","",G833-F833)</f>
        <v/>
      </c>
      <c r="I833" s="17">
        <f>IF($A833="","",IF(F833=0,IF(H833=0,0,1),ABS(H833)/F833))</f>
        <v/>
      </c>
      <c r="J833" s="18">
        <f>IF($A833="","",IF($E833="A",$E$1,IF($E833="B",$G$1,$I$1)))</f>
        <v/>
      </c>
      <c r="K833">
        <f>IF($A833="","",IF(H833=0,"MATCH",IF(I833&gt;J833,"RECOUNT","WITHIN TOLERANCE")))</f>
        <v/>
      </c>
      <c r="L833" s="5" t="n"/>
      <c r="M833">
        <f>IF(OR($A833="",$L833=""),"",L833-F833)</f>
        <v/>
      </c>
      <c r="N833" s="5" t="n"/>
      <c r="O833" s="5" t="n"/>
    </row>
    <row r="834">
      <c r="A834">
        <f>IF('Blind Count Entry'!A832="","",'Blind Count Entry'!A832)</f>
        <v/>
      </c>
      <c r="B834" s="16">
        <f>IF($A834="","",'Blind Count Entry'!B832)</f>
        <v/>
      </c>
      <c r="C834">
        <f>IF($A834="","",'Blind Count Entry'!C832)</f>
        <v/>
      </c>
      <c r="D834">
        <f>IF($A834="","",'Blind Count Entry'!D832)</f>
        <v/>
      </c>
      <c r="E834">
        <f>IF($A834="","",IFERROR(INDEX('ABC Analysis'!$F:$F,MATCH($C834,'ABC Analysis'!$A:$A,0)),""))</f>
        <v/>
      </c>
      <c r="F834">
        <f>IF($A834="","",IFERROR(INDEX('Master Inventory'!$E:$E,MATCH($C834,'Master Inventory'!$A:$A,0)),0))</f>
        <v/>
      </c>
      <c r="G834">
        <f>IF($A834="","",'Blind Count Entry'!F832)</f>
        <v/>
      </c>
      <c r="H834">
        <f>IF($A834="","",G834-F834)</f>
        <v/>
      </c>
      <c r="I834" s="17">
        <f>IF($A834="","",IF(F834=0,IF(H834=0,0,1),ABS(H834)/F834))</f>
        <v/>
      </c>
      <c r="J834" s="18">
        <f>IF($A834="","",IF($E834="A",$E$1,IF($E834="B",$G$1,$I$1)))</f>
        <v/>
      </c>
      <c r="K834">
        <f>IF($A834="","",IF(H834=0,"MATCH",IF(I834&gt;J834,"RECOUNT","WITHIN TOLERANCE")))</f>
        <v/>
      </c>
      <c r="L834" s="5" t="n"/>
      <c r="M834">
        <f>IF(OR($A834="",$L834=""),"",L834-F834)</f>
        <v/>
      </c>
      <c r="N834" s="5" t="n"/>
      <c r="O834" s="5" t="n"/>
    </row>
    <row r="835">
      <c r="A835">
        <f>IF('Blind Count Entry'!A833="","",'Blind Count Entry'!A833)</f>
        <v/>
      </c>
      <c r="B835" s="16">
        <f>IF($A835="","",'Blind Count Entry'!B833)</f>
        <v/>
      </c>
      <c r="C835">
        <f>IF($A835="","",'Blind Count Entry'!C833)</f>
        <v/>
      </c>
      <c r="D835">
        <f>IF($A835="","",'Blind Count Entry'!D833)</f>
        <v/>
      </c>
      <c r="E835">
        <f>IF($A835="","",IFERROR(INDEX('ABC Analysis'!$F:$F,MATCH($C835,'ABC Analysis'!$A:$A,0)),""))</f>
        <v/>
      </c>
      <c r="F835">
        <f>IF($A835="","",IFERROR(INDEX('Master Inventory'!$E:$E,MATCH($C835,'Master Inventory'!$A:$A,0)),0))</f>
        <v/>
      </c>
      <c r="G835">
        <f>IF($A835="","",'Blind Count Entry'!F833)</f>
        <v/>
      </c>
      <c r="H835">
        <f>IF($A835="","",G835-F835)</f>
        <v/>
      </c>
      <c r="I835" s="17">
        <f>IF($A835="","",IF(F835=0,IF(H835=0,0,1),ABS(H835)/F835))</f>
        <v/>
      </c>
      <c r="J835" s="18">
        <f>IF($A835="","",IF($E835="A",$E$1,IF($E835="B",$G$1,$I$1)))</f>
        <v/>
      </c>
      <c r="K835">
        <f>IF($A835="","",IF(H835=0,"MATCH",IF(I835&gt;J835,"RECOUNT","WITHIN TOLERANCE")))</f>
        <v/>
      </c>
      <c r="L835" s="5" t="n"/>
      <c r="M835">
        <f>IF(OR($A835="",$L835=""),"",L835-F835)</f>
        <v/>
      </c>
      <c r="N835" s="5" t="n"/>
      <c r="O835" s="5" t="n"/>
    </row>
    <row r="836">
      <c r="A836">
        <f>IF('Blind Count Entry'!A834="","",'Blind Count Entry'!A834)</f>
        <v/>
      </c>
      <c r="B836" s="16">
        <f>IF($A836="","",'Blind Count Entry'!B834)</f>
        <v/>
      </c>
      <c r="C836">
        <f>IF($A836="","",'Blind Count Entry'!C834)</f>
        <v/>
      </c>
      <c r="D836">
        <f>IF($A836="","",'Blind Count Entry'!D834)</f>
        <v/>
      </c>
      <c r="E836">
        <f>IF($A836="","",IFERROR(INDEX('ABC Analysis'!$F:$F,MATCH($C836,'ABC Analysis'!$A:$A,0)),""))</f>
        <v/>
      </c>
      <c r="F836">
        <f>IF($A836="","",IFERROR(INDEX('Master Inventory'!$E:$E,MATCH($C836,'Master Inventory'!$A:$A,0)),0))</f>
        <v/>
      </c>
      <c r="G836">
        <f>IF($A836="","",'Blind Count Entry'!F834)</f>
        <v/>
      </c>
      <c r="H836">
        <f>IF($A836="","",G836-F836)</f>
        <v/>
      </c>
      <c r="I836" s="17">
        <f>IF($A836="","",IF(F836=0,IF(H836=0,0,1),ABS(H836)/F836))</f>
        <v/>
      </c>
      <c r="J836" s="18">
        <f>IF($A836="","",IF($E836="A",$E$1,IF($E836="B",$G$1,$I$1)))</f>
        <v/>
      </c>
      <c r="K836">
        <f>IF($A836="","",IF(H836=0,"MATCH",IF(I836&gt;J836,"RECOUNT","WITHIN TOLERANCE")))</f>
        <v/>
      </c>
      <c r="L836" s="5" t="n"/>
      <c r="M836">
        <f>IF(OR($A836="",$L836=""),"",L836-F836)</f>
        <v/>
      </c>
      <c r="N836" s="5" t="n"/>
      <c r="O836" s="5" t="n"/>
    </row>
    <row r="837">
      <c r="A837">
        <f>IF('Blind Count Entry'!A835="","",'Blind Count Entry'!A835)</f>
        <v/>
      </c>
      <c r="B837" s="16">
        <f>IF($A837="","",'Blind Count Entry'!B835)</f>
        <v/>
      </c>
      <c r="C837">
        <f>IF($A837="","",'Blind Count Entry'!C835)</f>
        <v/>
      </c>
      <c r="D837">
        <f>IF($A837="","",'Blind Count Entry'!D835)</f>
        <v/>
      </c>
      <c r="E837">
        <f>IF($A837="","",IFERROR(INDEX('ABC Analysis'!$F:$F,MATCH($C837,'ABC Analysis'!$A:$A,0)),""))</f>
        <v/>
      </c>
      <c r="F837">
        <f>IF($A837="","",IFERROR(INDEX('Master Inventory'!$E:$E,MATCH($C837,'Master Inventory'!$A:$A,0)),0))</f>
        <v/>
      </c>
      <c r="G837">
        <f>IF($A837="","",'Blind Count Entry'!F835)</f>
        <v/>
      </c>
      <c r="H837">
        <f>IF($A837="","",G837-F837)</f>
        <v/>
      </c>
      <c r="I837" s="17">
        <f>IF($A837="","",IF(F837=0,IF(H837=0,0,1),ABS(H837)/F837))</f>
        <v/>
      </c>
      <c r="J837" s="18">
        <f>IF($A837="","",IF($E837="A",$E$1,IF($E837="B",$G$1,$I$1)))</f>
        <v/>
      </c>
      <c r="K837">
        <f>IF($A837="","",IF(H837=0,"MATCH",IF(I837&gt;J837,"RECOUNT","WITHIN TOLERANCE")))</f>
        <v/>
      </c>
      <c r="L837" s="5" t="n"/>
      <c r="M837">
        <f>IF(OR($A837="",$L837=""),"",L837-F837)</f>
        <v/>
      </c>
      <c r="N837" s="5" t="n"/>
      <c r="O837" s="5" t="n"/>
    </row>
    <row r="838">
      <c r="A838">
        <f>IF('Blind Count Entry'!A836="","",'Blind Count Entry'!A836)</f>
        <v/>
      </c>
      <c r="B838" s="16">
        <f>IF($A838="","",'Blind Count Entry'!B836)</f>
        <v/>
      </c>
      <c r="C838">
        <f>IF($A838="","",'Blind Count Entry'!C836)</f>
        <v/>
      </c>
      <c r="D838">
        <f>IF($A838="","",'Blind Count Entry'!D836)</f>
        <v/>
      </c>
      <c r="E838">
        <f>IF($A838="","",IFERROR(INDEX('ABC Analysis'!$F:$F,MATCH($C838,'ABC Analysis'!$A:$A,0)),""))</f>
        <v/>
      </c>
      <c r="F838">
        <f>IF($A838="","",IFERROR(INDEX('Master Inventory'!$E:$E,MATCH($C838,'Master Inventory'!$A:$A,0)),0))</f>
        <v/>
      </c>
      <c r="G838">
        <f>IF($A838="","",'Blind Count Entry'!F836)</f>
        <v/>
      </c>
      <c r="H838">
        <f>IF($A838="","",G838-F838)</f>
        <v/>
      </c>
      <c r="I838" s="17">
        <f>IF($A838="","",IF(F838=0,IF(H838=0,0,1),ABS(H838)/F838))</f>
        <v/>
      </c>
      <c r="J838" s="18">
        <f>IF($A838="","",IF($E838="A",$E$1,IF($E838="B",$G$1,$I$1)))</f>
        <v/>
      </c>
      <c r="K838">
        <f>IF($A838="","",IF(H838=0,"MATCH",IF(I838&gt;J838,"RECOUNT","WITHIN TOLERANCE")))</f>
        <v/>
      </c>
      <c r="L838" s="5" t="n"/>
      <c r="M838">
        <f>IF(OR($A838="",$L838=""),"",L838-F838)</f>
        <v/>
      </c>
      <c r="N838" s="5" t="n"/>
      <c r="O838" s="5" t="n"/>
    </row>
    <row r="839">
      <c r="A839">
        <f>IF('Blind Count Entry'!A837="","",'Blind Count Entry'!A837)</f>
        <v/>
      </c>
      <c r="B839" s="16">
        <f>IF($A839="","",'Blind Count Entry'!B837)</f>
        <v/>
      </c>
      <c r="C839">
        <f>IF($A839="","",'Blind Count Entry'!C837)</f>
        <v/>
      </c>
      <c r="D839">
        <f>IF($A839="","",'Blind Count Entry'!D837)</f>
        <v/>
      </c>
      <c r="E839">
        <f>IF($A839="","",IFERROR(INDEX('ABC Analysis'!$F:$F,MATCH($C839,'ABC Analysis'!$A:$A,0)),""))</f>
        <v/>
      </c>
      <c r="F839">
        <f>IF($A839="","",IFERROR(INDEX('Master Inventory'!$E:$E,MATCH($C839,'Master Inventory'!$A:$A,0)),0))</f>
        <v/>
      </c>
      <c r="G839">
        <f>IF($A839="","",'Blind Count Entry'!F837)</f>
        <v/>
      </c>
      <c r="H839">
        <f>IF($A839="","",G839-F839)</f>
        <v/>
      </c>
      <c r="I839" s="17">
        <f>IF($A839="","",IF(F839=0,IF(H839=0,0,1),ABS(H839)/F839))</f>
        <v/>
      </c>
      <c r="J839" s="18">
        <f>IF($A839="","",IF($E839="A",$E$1,IF($E839="B",$G$1,$I$1)))</f>
        <v/>
      </c>
      <c r="K839">
        <f>IF($A839="","",IF(H839=0,"MATCH",IF(I839&gt;J839,"RECOUNT","WITHIN TOLERANCE")))</f>
        <v/>
      </c>
      <c r="L839" s="5" t="n"/>
      <c r="M839">
        <f>IF(OR($A839="",$L839=""),"",L839-F839)</f>
        <v/>
      </c>
      <c r="N839" s="5" t="n"/>
      <c r="O839" s="5" t="n"/>
    </row>
    <row r="840">
      <c r="A840">
        <f>IF('Blind Count Entry'!A838="","",'Blind Count Entry'!A838)</f>
        <v/>
      </c>
      <c r="B840" s="16">
        <f>IF($A840="","",'Blind Count Entry'!B838)</f>
        <v/>
      </c>
      <c r="C840">
        <f>IF($A840="","",'Blind Count Entry'!C838)</f>
        <v/>
      </c>
      <c r="D840">
        <f>IF($A840="","",'Blind Count Entry'!D838)</f>
        <v/>
      </c>
      <c r="E840">
        <f>IF($A840="","",IFERROR(INDEX('ABC Analysis'!$F:$F,MATCH($C840,'ABC Analysis'!$A:$A,0)),""))</f>
        <v/>
      </c>
      <c r="F840">
        <f>IF($A840="","",IFERROR(INDEX('Master Inventory'!$E:$E,MATCH($C840,'Master Inventory'!$A:$A,0)),0))</f>
        <v/>
      </c>
      <c r="G840">
        <f>IF($A840="","",'Blind Count Entry'!F838)</f>
        <v/>
      </c>
      <c r="H840">
        <f>IF($A840="","",G840-F840)</f>
        <v/>
      </c>
      <c r="I840" s="17">
        <f>IF($A840="","",IF(F840=0,IF(H840=0,0,1),ABS(H840)/F840))</f>
        <v/>
      </c>
      <c r="J840" s="18">
        <f>IF($A840="","",IF($E840="A",$E$1,IF($E840="B",$G$1,$I$1)))</f>
        <v/>
      </c>
      <c r="K840">
        <f>IF($A840="","",IF(H840=0,"MATCH",IF(I840&gt;J840,"RECOUNT","WITHIN TOLERANCE")))</f>
        <v/>
      </c>
      <c r="L840" s="5" t="n"/>
      <c r="M840">
        <f>IF(OR($A840="",$L840=""),"",L840-F840)</f>
        <v/>
      </c>
      <c r="N840" s="5" t="n"/>
      <c r="O840" s="5" t="n"/>
    </row>
    <row r="841">
      <c r="A841">
        <f>IF('Blind Count Entry'!A839="","",'Blind Count Entry'!A839)</f>
        <v/>
      </c>
      <c r="B841" s="16">
        <f>IF($A841="","",'Blind Count Entry'!B839)</f>
        <v/>
      </c>
      <c r="C841">
        <f>IF($A841="","",'Blind Count Entry'!C839)</f>
        <v/>
      </c>
      <c r="D841">
        <f>IF($A841="","",'Blind Count Entry'!D839)</f>
        <v/>
      </c>
      <c r="E841">
        <f>IF($A841="","",IFERROR(INDEX('ABC Analysis'!$F:$F,MATCH($C841,'ABC Analysis'!$A:$A,0)),""))</f>
        <v/>
      </c>
      <c r="F841">
        <f>IF($A841="","",IFERROR(INDEX('Master Inventory'!$E:$E,MATCH($C841,'Master Inventory'!$A:$A,0)),0))</f>
        <v/>
      </c>
      <c r="G841">
        <f>IF($A841="","",'Blind Count Entry'!F839)</f>
        <v/>
      </c>
      <c r="H841">
        <f>IF($A841="","",G841-F841)</f>
        <v/>
      </c>
      <c r="I841" s="17">
        <f>IF($A841="","",IF(F841=0,IF(H841=0,0,1),ABS(H841)/F841))</f>
        <v/>
      </c>
      <c r="J841" s="18">
        <f>IF($A841="","",IF($E841="A",$E$1,IF($E841="B",$G$1,$I$1)))</f>
        <v/>
      </c>
      <c r="K841">
        <f>IF($A841="","",IF(H841=0,"MATCH",IF(I841&gt;J841,"RECOUNT","WITHIN TOLERANCE")))</f>
        <v/>
      </c>
      <c r="L841" s="5" t="n"/>
      <c r="M841">
        <f>IF(OR($A841="",$L841=""),"",L841-F841)</f>
        <v/>
      </c>
      <c r="N841" s="5" t="n"/>
      <c r="O841" s="5" t="n"/>
    </row>
    <row r="842">
      <c r="A842">
        <f>IF('Blind Count Entry'!A840="","",'Blind Count Entry'!A840)</f>
        <v/>
      </c>
      <c r="B842" s="16">
        <f>IF($A842="","",'Blind Count Entry'!B840)</f>
        <v/>
      </c>
      <c r="C842">
        <f>IF($A842="","",'Blind Count Entry'!C840)</f>
        <v/>
      </c>
      <c r="D842">
        <f>IF($A842="","",'Blind Count Entry'!D840)</f>
        <v/>
      </c>
      <c r="E842">
        <f>IF($A842="","",IFERROR(INDEX('ABC Analysis'!$F:$F,MATCH($C842,'ABC Analysis'!$A:$A,0)),""))</f>
        <v/>
      </c>
      <c r="F842">
        <f>IF($A842="","",IFERROR(INDEX('Master Inventory'!$E:$E,MATCH($C842,'Master Inventory'!$A:$A,0)),0))</f>
        <v/>
      </c>
      <c r="G842">
        <f>IF($A842="","",'Blind Count Entry'!F840)</f>
        <v/>
      </c>
      <c r="H842">
        <f>IF($A842="","",G842-F842)</f>
        <v/>
      </c>
      <c r="I842" s="17">
        <f>IF($A842="","",IF(F842=0,IF(H842=0,0,1),ABS(H842)/F842))</f>
        <v/>
      </c>
      <c r="J842" s="18">
        <f>IF($A842="","",IF($E842="A",$E$1,IF($E842="B",$G$1,$I$1)))</f>
        <v/>
      </c>
      <c r="K842">
        <f>IF($A842="","",IF(H842=0,"MATCH",IF(I842&gt;J842,"RECOUNT","WITHIN TOLERANCE")))</f>
        <v/>
      </c>
      <c r="L842" s="5" t="n"/>
      <c r="M842">
        <f>IF(OR($A842="",$L842=""),"",L842-F842)</f>
        <v/>
      </c>
      <c r="N842" s="5" t="n"/>
      <c r="O842" s="5" t="n"/>
    </row>
    <row r="843">
      <c r="A843">
        <f>IF('Blind Count Entry'!A841="","",'Blind Count Entry'!A841)</f>
        <v/>
      </c>
      <c r="B843" s="16">
        <f>IF($A843="","",'Blind Count Entry'!B841)</f>
        <v/>
      </c>
      <c r="C843">
        <f>IF($A843="","",'Blind Count Entry'!C841)</f>
        <v/>
      </c>
      <c r="D843">
        <f>IF($A843="","",'Blind Count Entry'!D841)</f>
        <v/>
      </c>
      <c r="E843">
        <f>IF($A843="","",IFERROR(INDEX('ABC Analysis'!$F:$F,MATCH($C843,'ABC Analysis'!$A:$A,0)),""))</f>
        <v/>
      </c>
      <c r="F843">
        <f>IF($A843="","",IFERROR(INDEX('Master Inventory'!$E:$E,MATCH($C843,'Master Inventory'!$A:$A,0)),0))</f>
        <v/>
      </c>
      <c r="G843">
        <f>IF($A843="","",'Blind Count Entry'!F841)</f>
        <v/>
      </c>
      <c r="H843">
        <f>IF($A843="","",G843-F843)</f>
        <v/>
      </c>
      <c r="I843" s="17">
        <f>IF($A843="","",IF(F843=0,IF(H843=0,0,1),ABS(H843)/F843))</f>
        <v/>
      </c>
      <c r="J843" s="18">
        <f>IF($A843="","",IF($E843="A",$E$1,IF($E843="B",$G$1,$I$1)))</f>
        <v/>
      </c>
      <c r="K843">
        <f>IF($A843="","",IF(H843=0,"MATCH",IF(I843&gt;J843,"RECOUNT","WITHIN TOLERANCE")))</f>
        <v/>
      </c>
      <c r="L843" s="5" t="n"/>
      <c r="M843">
        <f>IF(OR($A843="",$L843=""),"",L843-F843)</f>
        <v/>
      </c>
      <c r="N843" s="5" t="n"/>
      <c r="O843" s="5" t="n"/>
    </row>
    <row r="844">
      <c r="A844">
        <f>IF('Blind Count Entry'!A842="","",'Blind Count Entry'!A842)</f>
        <v/>
      </c>
      <c r="B844" s="16">
        <f>IF($A844="","",'Blind Count Entry'!B842)</f>
        <v/>
      </c>
      <c r="C844">
        <f>IF($A844="","",'Blind Count Entry'!C842)</f>
        <v/>
      </c>
      <c r="D844">
        <f>IF($A844="","",'Blind Count Entry'!D842)</f>
        <v/>
      </c>
      <c r="E844">
        <f>IF($A844="","",IFERROR(INDEX('ABC Analysis'!$F:$F,MATCH($C844,'ABC Analysis'!$A:$A,0)),""))</f>
        <v/>
      </c>
      <c r="F844">
        <f>IF($A844="","",IFERROR(INDEX('Master Inventory'!$E:$E,MATCH($C844,'Master Inventory'!$A:$A,0)),0))</f>
        <v/>
      </c>
      <c r="G844">
        <f>IF($A844="","",'Blind Count Entry'!F842)</f>
        <v/>
      </c>
      <c r="H844">
        <f>IF($A844="","",G844-F844)</f>
        <v/>
      </c>
      <c r="I844" s="17">
        <f>IF($A844="","",IF(F844=0,IF(H844=0,0,1),ABS(H844)/F844))</f>
        <v/>
      </c>
      <c r="J844" s="18">
        <f>IF($A844="","",IF($E844="A",$E$1,IF($E844="B",$G$1,$I$1)))</f>
        <v/>
      </c>
      <c r="K844">
        <f>IF($A844="","",IF(H844=0,"MATCH",IF(I844&gt;J844,"RECOUNT","WITHIN TOLERANCE")))</f>
        <v/>
      </c>
      <c r="L844" s="5" t="n"/>
      <c r="M844">
        <f>IF(OR($A844="",$L844=""),"",L844-F844)</f>
        <v/>
      </c>
      <c r="N844" s="5" t="n"/>
      <c r="O844" s="5" t="n"/>
    </row>
    <row r="845">
      <c r="A845">
        <f>IF('Blind Count Entry'!A843="","",'Blind Count Entry'!A843)</f>
        <v/>
      </c>
      <c r="B845" s="16">
        <f>IF($A845="","",'Blind Count Entry'!B843)</f>
        <v/>
      </c>
      <c r="C845">
        <f>IF($A845="","",'Blind Count Entry'!C843)</f>
        <v/>
      </c>
      <c r="D845">
        <f>IF($A845="","",'Blind Count Entry'!D843)</f>
        <v/>
      </c>
      <c r="E845">
        <f>IF($A845="","",IFERROR(INDEX('ABC Analysis'!$F:$F,MATCH($C845,'ABC Analysis'!$A:$A,0)),""))</f>
        <v/>
      </c>
      <c r="F845">
        <f>IF($A845="","",IFERROR(INDEX('Master Inventory'!$E:$E,MATCH($C845,'Master Inventory'!$A:$A,0)),0))</f>
        <v/>
      </c>
      <c r="G845">
        <f>IF($A845="","",'Blind Count Entry'!F843)</f>
        <v/>
      </c>
      <c r="H845">
        <f>IF($A845="","",G845-F845)</f>
        <v/>
      </c>
      <c r="I845" s="17">
        <f>IF($A845="","",IF(F845=0,IF(H845=0,0,1),ABS(H845)/F845))</f>
        <v/>
      </c>
      <c r="J845" s="18">
        <f>IF($A845="","",IF($E845="A",$E$1,IF($E845="B",$G$1,$I$1)))</f>
        <v/>
      </c>
      <c r="K845">
        <f>IF($A845="","",IF(H845=0,"MATCH",IF(I845&gt;J845,"RECOUNT","WITHIN TOLERANCE")))</f>
        <v/>
      </c>
      <c r="L845" s="5" t="n"/>
      <c r="M845">
        <f>IF(OR($A845="",$L845=""),"",L845-F845)</f>
        <v/>
      </c>
      <c r="N845" s="5" t="n"/>
      <c r="O845" s="5" t="n"/>
    </row>
    <row r="846">
      <c r="A846">
        <f>IF('Blind Count Entry'!A844="","",'Blind Count Entry'!A844)</f>
        <v/>
      </c>
      <c r="B846" s="16">
        <f>IF($A846="","",'Blind Count Entry'!B844)</f>
        <v/>
      </c>
      <c r="C846">
        <f>IF($A846="","",'Blind Count Entry'!C844)</f>
        <v/>
      </c>
      <c r="D846">
        <f>IF($A846="","",'Blind Count Entry'!D844)</f>
        <v/>
      </c>
      <c r="E846">
        <f>IF($A846="","",IFERROR(INDEX('ABC Analysis'!$F:$F,MATCH($C846,'ABC Analysis'!$A:$A,0)),""))</f>
        <v/>
      </c>
      <c r="F846">
        <f>IF($A846="","",IFERROR(INDEX('Master Inventory'!$E:$E,MATCH($C846,'Master Inventory'!$A:$A,0)),0))</f>
        <v/>
      </c>
      <c r="G846">
        <f>IF($A846="","",'Blind Count Entry'!F844)</f>
        <v/>
      </c>
      <c r="H846">
        <f>IF($A846="","",G846-F846)</f>
        <v/>
      </c>
      <c r="I846" s="17">
        <f>IF($A846="","",IF(F846=0,IF(H846=0,0,1),ABS(H846)/F846))</f>
        <v/>
      </c>
      <c r="J846" s="18">
        <f>IF($A846="","",IF($E846="A",$E$1,IF($E846="B",$G$1,$I$1)))</f>
        <v/>
      </c>
      <c r="K846">
        <f>IF($A846="","",IF(H846=0,"MATCH",IF(I846&gt;J846,"RECOUNT","WITHIN TOLERANCE")))</f>
        <v/>
      </c>
      <c r="L846" s="5" t="n"/>
      <c r="M846">
        <f>IF(OR($A846="",$L846=""),"",L846-F846)</f>
        <v/>
      </c>
      <c r="N846" s="5" t="n"/>
      <c r="O846" s="5" t="n"/>
    </row>
    <row r="847">
      <c r="A847">
        <f>IF('Blind Count Entry'!A845="","",'Blind Count Entry'!A845)</f>
        <v/>
      </c>
      <c r="B847" s="16">
        <f>IF($A847="","",'Blind Count Entry'!B845)</f>
        <v/>
      </c>
      <c r="C847">
        <f>IF($A847="","",'Blind Count Entry'!C845)</f>
        <v/>
      </c>
      <c r="D847">
        <f>IF($A847="","",'Blind Count Entry'!D845)</f>
        <v/>
      </c>
      <c r="E847">
        <f>IF($A847="","",IFERROR(INDEX('ABC Analysis'!$F:$F,MATCH($C847,'ABC Analysis'!$A:$A,0)),""))</f>
        <v/>
      </c>
      <c r="F847">
        <f>IF($A847="","",IFERROR(INDEX('Master Inventory'!$E:$E,MATCH($C847,'Master Inventory'!$A:$A,0)),0))</f>
        <v/>
      </c>
      <c r="G847">
        <f>IF($A847="","",'Blind Count Entry'!F845)</f>
        <v/>
      </c>
      <c r="H847">
        <f>IF($A847="","",G847-F847)</f>
        <v/>
      </c>
      <c r="I847" s="17">
        <f>IF($A847="","",IF(F847=0,IF(H847=0,0,1),ABS(H847)/F847))</f>
        <v/>
      </c>
      <c r="J847" s="18">
        <f>IF($A847="","",IF($E847="A",$E$1,IF($E847="B",$G$1,$I$1)))</f>
        <v/>
      </c>
      <c r="K847">
        <f>IF($A847="","",IF(H847=0,"MATCH",IF(I847&gt;J847,"RECOUNT","WITHIN TOLERANCE")))</f>
        <v/>
      </c>
      <c r="L847" s="5" t="n"/>
      <c r="M847">
        <f>IF(OR($A847="",$L847=""),"",L847-F847)</f>
        <v/>
      </c>
      <c r="N847" s="5" t="n"/>
      <c r="O847" s="5" t="n"/>
    </row>
    <row r="848">
      <c r="A848">
        <f>IF('Blind Count Entry'!A846="","",'Blind Count Entry'!A846)</f>
        <v/>
      </c>
      <c r="B848" s="16">
        <f>IF($A848="","",'Blind Count Entry'!B846)</f>
        <v/>
      </c>
      <c r="C848">
        <f>IF($A848="","",'Blind Count Entry'!C846)</f>
        <v/>
      </c>
      <c r="D848">
        <f>IF($A848="","",'Blind Count Entry'!D846)</f>
        <v/>
      </c>
      <c r="E848">
        <f>IF($A848="","",IFERROR(INDEX('ABC Analysis'!$F:$F,MATCH($C848,'ABC Analysis'!$A:$A,0)),""))</f>
        <v/>
      </c>
      <c r="F848">
        <f>IF($A848="","",IFERROR(INDEX('Master Inventory'!$E:$E,MATCH($C848,'Master Inventory'!$A:$A,0)),0))</f>
        <v/>
      </c>
      <c r="G848">
        <f>IF($A848="","",'Blind Count Entry'!F846)</f>
        <v/>
      </c>
      <c r="H848">
        <f>IF($A848="","",G848-F848)</f>
        <v/>
      </c>
      <c r="I848" s="17">
        <f>IF($A848="","",IF(F848=0,IF(H848=0,0,1),ABS(H848)/F848))</f>
        <v/>
      </c>
      <c r="J848" s="18">
        <f>IF($A848="","",IF($E848="A",$E$1,IF($E848="B",$G$1,$I$1)))</f>
        <v/>
      </c>
      <c r="K848">
        <f>IF($A848="","",IF(H848=0,"MATCH",IF(I848&gt;J848,"RECOUNT","WITHIN TOLERANCE")))</f>
        <v/>
      </c>
      <c r="L848" s="5" t="n"/>
      <c r="M848">
        <f>IF(OR($A848="",$L848=""),"",L848-F848)</f>
        <v/>
      </c>
      <c r="N848" s="5" t="n"/>
      <c r="O848" s="5" t="n"/>
    </row>
    <row r="849">
      <c r="A849">
        <f>IF('Blind Count Entry'!A847="","",'Blind Count Entry'!A847)</f>
        <v/>
      </c>
      <c r="B849" s="16">
        <f>IF($A849="","",'Blind Count Entry'!B847)</f>
        <v/>
      </c>
      <c r="C849">
        <f>IF($A849="","",'Blind Count Entry'!C847)</f>
        <v/>
      </c>
      <c r="D849">
        <f>IF($A849="","",'Blind Count Entry'!D847)</f>
        <v/>
      </c>
      <c r="E849">
        <f>IF($A849="","",IFERROR(INDEX('ABC Analysis'!$F:$F,MATCH($C849,'ABC Analysis'!$A:$A,0)),""))</f>
        <v/>
      </c>
      <c r="F849">
        <f>IF($A849="","",IFERROR(INDEX('Master Inventory'!$E:$E,MATCH($C849,'Master Inventory'!$A:$A,0)),0))</f>
        <v/>
      </c>
      <c r="G849">
        <f>IF($A849="","",'Blind Count Entry'!F847)</f>
        <v/>
      </c>
      <c r="H849">
        <f>IF($A849="","",G849-F849)</f>
        <v/>
      </c>
      <c r="I849" s="17">
        <f>IF($A849="","",IF(F849=0,IF(H849=0,0,1),ABS(H849)/F849))</f>
        <v/>
      </c>
      <c r="J849" s="18">
        <f>IF($A849="","",IF($E849="A",$E$1,IF($E849="B",$G$1,$I$1)))</f>
        <v/>
      </c>
      <c r="K849">
        <f>IF($A849="","",IF(H849=0,"MATCH",IF(I849&gt;J849,"RECOUNT","WITHIN TOLERANCE")))</f>
        <v/>
      </c>
      <c r="L849" s="5" t="n"/>
      <c r="M849">
        <f>IF(OR($A849="",$L849=""),"",L849-F849)</f>
        <v/>
      </c>
      <c r="N849" s="5" t="n"/>
      <c r="O849" s="5" t="n"/>
    </row>
    <row r="850">
      <c r="A850">
        <f>IF('Blind Count Entry'!A848="","",'Blind Count Entry'!A848)</f>
        <v/>
      </c>
      <c r="B850" s="16">
        <f>IF($A850="","",'Blind Count Entry'!B848)</f>
        <v/>
      </c>
      <c r="C850">
        <f>IF($A850="","",'Blind Count Entry'!C848)</f>
        <v/>
      </c>
      <c r="D850">
        <f>IF($A850="","",'Blind Count Entry'!D848)</f>
        <v/>
      </c>
      <c r="E850">
        <f>IF($A850="","",IFERROR(INDEX('ABC Analysis'!$F:$F,MATCH($C850,'ABC Analysis'!$A:$A,0)),""))</f>
        <v/>
      </c>
      <c r="F850">
        <f>IF($A850="","",IFERROR(INDEX('Master Inventory'!$E:$E,MATCH($C850,'Master Inventory'!$A:$A,0)),0))</f>
        <v/>
      </c>
      <c r="G850">
        <f>IF($A850="","",'Blind Count Entry'!F848)</f>
        <v/>
      </c>
      <c r="H850">
        <f>IF($A850="","",G850-F850)</f>
        <v/>
      </c>
      <c r="I850" s="17">
        <f>IF($A850="","",IF(F850=0,IF(H850=0,0,1),ABS(H850)/F850))</f>
        <v/>
      </c>
      <c r="J850" s="18">
        <f>IF($A850="","",IF($E850="A",$E$1,IF($E850="B",$G$1,$I$1)))</f>
        <v/>
      </c>
      <c r="K850">
        <f>IF($A850="","",IF(H850=0,"MATCH",IF(I850&gt;J850,"RECOUNT","WITHIN TOLERANCE")))</f>
        <v/>
      </c>
      <c r="L850" s="5" t="n"/>
      <c r="M850">
        <f>IF(OR($A850="",$L850=""),"",L850-F850)</f>
        <v/>
      </c>
      <c r="N850" s="5" t="n"/>
      <c r="O850" s="5" t="n"/>
    </row>
    <row r="851">
      <c r="A851">
        <f>IF('Blind Count Entry'!A849="","",'Blind Count Entry'!A849)</f>
        <v/>
      </c>
      <c r="B851" s="16">
        <f>IF($A851="","",'Blind Count Entry'!B849)</f>
        <v/>
      </c>
      <c r="C851">
        <f>IF($A851="","",'Blind Count Entry'!C849)</f>
        <v/>
      </c>
      <c r="D851">
        <f>IF($A851="","",'Blind Count Entry'!D849)</f>
        <v/>
      </c>
      <c r="E851">
        <f>IF($A851="","",IFERROR(INDEX('ABC Analysis'!$F:$F,MATCH($C851,'ABC Analysis'!$A:$A,0)),""))</f>
        <v/>
      </c>
      <c r="F851">
        <f>IF($A851="","",IFERROR(INDEX('Master Inventory'!$E:$E,MATCH($C851,'Master Inventory'!$A:$A,0)),0))</f>
        <v/>
      </c>
      <c r="G851">
        <f>IF($A851="","",'Blind Count Entry'!F849)</f>
        <v/>
      </c>
      <c r="H851">
        <f>IF($A851="","",G851-F851)</f>
        <v/>
      </c>
      <c r="I851" s="17">
        <f>IF($A851="","",IF(F851=0,IF(H851=0,0,1),ABS(H851)/F851))</f>
        <v/>
      </c>
      <c r="J851" s="18">
        <f>IF($A851="","",IF($E851="A",$E$1,IF($E851="B",$G$1,$I$1)))</f>
        <v/>
      </c>
      <c r="K851">
        <f>IF($A851="","",IF(H851=0,"MATCH",IF(I851&gt;J851,"RECOUNT","WITHIN TOLERANCE")))</f>
        <v/>
      </c>
      <c r="L851" s="5" t="n"/>
      <c r="M851">
        <f>IF(OR($A851="",$L851=""),"",L851-F851)</f>
        <v/>
      </c>
      <c r="N851" s="5" t="n"/>
      <c r="O851" s="5" t="n"/>
    </row>
    <row r="852">
      <c r="A852">
        <f>IF('Blind Count Entry'!A850="","",'Blind Count Entry'!A850)</f>
        <v/>
      </c>
      <c r="B852" s="16">
        <f>IF($A852="","",'Blind Count Entry'!B850)</f>
        <v/>
      </c>
      <c r="C852">
        <f>IF($A852="","",'Blind Count Entry'!C850)</f>
        <v/>
      </c>
      <c r="D852">
        <f>IF($A852="","",'Blind Count Entry'!D850)</f>
        <v/>
      </c>
      <c r="E852">
        <f>IF($A852="","",IFERROR(INDEX('ABC Analysis'!$F:$F,MATCH($C852,'ABC Analysis'!$A:$A,0)),""))</f>
        <v/>
      </c>
      <c r="F852">
        <f>IF($A852="","",IFERROR(INDEX('Master Inventory'!$E:$E,MATCH($C852,'Master Inventory'!$A:$A,0)),0))</f>
        <v/>
      </c>
      <c r="G852">
        <f>IF($A852="","",'Blind Count Entry'!F850)</f>
        <v/>
      </c>
      <c r="H852">
        <f>IF($A852="","",G852-F852)</f>
        <v/>
      </c>
      <c r="I852" s="17">
        <f>IF($A852="","",IF(F852=0,IF(H852=0,0,1),ABS(H852)/F852))</f>
        <v/>
      </c>
      <c r="J852" s="18">
        <f>IF($A852="","",IF($E852="A",$E$1,IF($E852="B",$G$1,$I$1)))</f>
        <v/>
      </c>
      <c r="K852">
        <f>IF($A852="","",IF(H852=0,"MATCH",IF(I852&gt;J852,"RECOUNT","WITHIN TOLERANCE")))</f>
        <v/>
      </c>
      <c r="L852" s="5" t="n"/>
      <c r="M852">
        <f>IF(OR($A852="",$L852=""),"",L852-F852)</f>
        <v/>
      </c>
      <c r="N852" s="5" t="n"/>
      <c r="O852" s="5" t="n"/>
    </row>
    <row r="853">
      <c r="A853">
        <f>IF('Blind Count Entry'!A851="","",'Blind Count Entry'!A851)</f>
        <v/>
      </c>
      <c r="B853" s="16">
        <f>IF($A853="","",'Blind Count Entry'!B851)</f>
        <v/>
      </c>
      <c r="C853">
        <f>IF($A853="","",'Blind Count Entry'!C851)</f>
        <v/>
      </c>
      <c r="D853">
        <f>IF($A853="","",'Blind Count Entry'!D851)</f>
        <v/>
      </c>
      <c r="E853">
        <f>IF($A853="","",IFERROR(INDEX('ABC Analysis'!$F:$F,MATCH($C853,'ABC Analysis'!$A:$A,0)),""))</f>
        <v/>
      </c>
      <c r="F853">
        <f>IF($A853="","",IFERROR(INDEX('Master Inventory'!$E:$E,MATCH($C853,'Master Inventory'!$A:$A,0)),0))</f>
        <v/>
      </c>
      <c r="G853">
        <f>IF($A853="","",'Blind Count Entry'!F851)</f>
        <v/>
      </c>
      <c r="H853">
        <f>IF($A853="","",G853-F853)</f>
        <v/>
      </c>
      <c r="I853" s="17">
        <f>IF($A853="","",IF(F853=0,IF(H853=0,0,1),ABS(H853)/F853))</f>
        <v/>
      </c>
      <c r="J853" s="18">
        <f>IF($A853="","",IF($E853="A",$E$1,IF($E853="B",$G$1,$I$1)))</f>
        <v/>
      </c>
      <c r="K853">
        <f>IF($A853="","",IF(H853=0,"MATCH",IF(I853&gt;J853,"RECOUNT","WITHIN TOLERANCE")))</f>
        <v/>
      </c>
      <c r="L853" s="5" t="n"/>
      <c r="M853">
        <f>IF(OR($A853="",$L853=""),"",L853-F853)</f>
        <v/>
      </c>
      <c r="N853" s="5" t="n"/>
      <c r="O853" s="5" t="n"/>
    </row>
    <row r="854">
      <c r="A854">
        <f>IF('Blind Count Entry'!A852="","",'Blind Count Entry'!A852)</f>
        <v/>
      </c>
      <c r="B854" s="16">
        <f>IF($A854="","",'Blind Count Entry'!B852)</f>
        <v/>
      </c>
      <c r="C854">
        <f>IF($A854="","",'Blind Count Entry'!C852)</f>
        <v/>
      </c>
      <c r="D854">
        <f>IF($A854="","",'Blind Count Entry'!D852)</f>
        <v/>
      </c>
      <c r="E854">
        <f>IF($A854="","",IFERROR(INDEX('ABC Analysis'!$F:$F,MATCH($C854,'ABC Analysis'!$A:$A,0)),""))</f>
        <v/>
      </c>
      <c r="F854">
        <f>IF($A854="","",IFERROR(INDEX('Master Inventory'!$E:$E,MATCH($C854,'Master Inventory'!$A:$A,0)),0))</f>
        <v/>
      </c>
      <c r="G854">
        <f>IF($A854="","",'Blind Count Entry'!F852)</f>
        <v/>
      </c>
      <c r="H854">
        <f>IF($A854="","",G854-F854)</f>
        <v/>
      </c>
      <c r="I854" s="17">
        <f>IF($A854="","",IF(F854=0,IF(H854=0,0,1),ABS(H854)/F854))</f>
        <v/>
      </c>
      <c r="J854" s="18">
        <f>IF($A854="","",IF($E854="A",$E$1,IF($E854="B",$G$1,$I$1)))</f>
        <v/>
      </c>
      <c r="K854">
        <f>IF($A854="","",IF(H854=0,"MATCH",IF(I854&gt;J854,"RECOUNT","WITHIN TOLERANCE")))</f>
        <v/>
      </c>
      <c r="L854" s="5" t="n"/>
      <c r="M854">
        <f>IF(OR($A854="",$L854=""),"",L854-F854)</f>
        <v/>
      </c>
      <c r="N854" s="5" t="n"/>
      <c r="O854" s="5" t="n"/>
    </row>
    <row r="855">
      <c r="A855">
        <f>IF('Blind Count Entry'!A853="","",'Blind Count Entry'!A853)</f>
        <v/>
      </c>
      <c r="B855" s="16">
        <f>IF($A855="","",'Blind Count Entry'!B853)</f>
        <v/>
      </c>
      <c r="C855">
        <f>IF($A855="","",'Blind Count Entry'!C853)</f>
        <v/>
      </c>
      <c r="D855">
        <f>IF($A855="","",'Blind Count Entry'!D853)</f>
        <v/>
      </c>
      <c r="E855">
        <f>IF($A855="","",IFERROR(INDEX('ABC Analysis'!$F:$F,MATCH($C855,'ABC Analysis'!$A:$A,0)),""))</f>
        <v/>
      </c>
      <c r="F855">
        <f>IF($A855="","",IFERROR(INDEX('Master Inventory'!$E:$E,MATCH($C855,'Master Inventory'!$A:$A,0)),0))</f>
        <v/>
      </c>
      <c r="G855">
        <f>IF($A855="","",'Blind Count Entry'!F853)</f>
        <v/>
      </c>
      <c r="H855">
        <f>IF($A855="","",G855-F855)</f>
        <v/>
      </c>
      <c r="I855" s="17">
        <f>IF($A855="","",IF(F855=0,IF(H855=0,0,1),ABS(H855)/F855))</f>
        <v/>
      </c>
      <c r="J855" s="18">
        <f>IF($A855="","",IF($E855="A",$E$1,IF($E855="B",$G$1,$I$1)))</f>
        <v/>
      </c>
      <c r="K855">
        <f>IF($A855="","",IF(H855=0,"MATCH",IF(I855&gt;J855,"RECOUNT","WITHIN TOLERANCE")))</f>
        <v/>
      </c>
      <c r="L855" s="5" t="n"/>
      <c r="M855">
        <f>IF(OR($A855="",$L855=""),"",L855-F855)</f>
        <v/>
      </c>
      <c r="N855" s="5" t="n"/>
      <c r="O855" s="5" t="n"/>
    </row>
    <row r="856">
      <c r="A856">
        <f>IF('Blind Count Entry'!A854="","",'Blind Count Entry'!A854)</f>
        <v/>
      </c>
      <c r="B856" s="16">
        <f>IF($A856="","",'Blind Count Entry'!B854)</f>
        <v/>
      </c>
      <c r="C856">
        <f>IF($A856="","",'Blind Count Entry'!C854)</f>
        <v/>
      </c>
      <c r="D856">
        <f>IF($A856="","",'Blind Count Entry'!D854)</f>
        <v/>
      </c>
      <c r="E856">
        <f>IF($A856="","",IFERROR(INDEX('ABC Analysis'!$F:$F,MATCH($C856,'ABC Analysis'!$A:$A,0)),""))</f>
        <v/>
      </c>
      <c r="F856">
        <f>IF($A856="","",IFERROR(INDEX('Master Inventory'!$E:$E,MATCH($C856,'Master Inventory'!$A:$A,0)),0))</f>
        <v/>
      </c>
      <c r="G856">
        <f>IF($A856="","",'Blind Count Entry'!F854)</f>
        <v/>
      </c>
      <c r="H856">
        <f>IF($A856="","",G856-F856)</f>
        <v/>
      </c>
      <c r="I856" s="17">
        <f>IF($A856="","",IF(F856=0,IF(H856=0,0,1),ABS(H856)/F856))</f>
        <v/>
      </c>
      <c r="J856" s="18">
        <f>IF($A856="","",IF($E856="A",$E$1,IF($E856="B",$G$1,$I$1)))</f>
        <v/>
      </c>
      <c r="K856">
        <f>IF($A856="","",IF(H856=0,"MATCH",IF(I856&gt;J856,"RECOUNT","WITHIN TOLERANCE")))</f>
        <v/>
      </c>
      <c r="L856" s="5" t="n"/>
      <c r="M856">
        <f>IF(OR($A856="",$L856=""),"",L856-F856)</f>
        <v/>
      </c>
      <c r="N856" s="5" t="n"/>
      <c r="O856" s="5" t="n"/>
    </row>
    <row r="857">
      <c r="A857">
        <f>IF('Blind Count Entry'!A855="","",'Blind Count Entry'!A855)</f>
        <v/>
      </c>
      <c r="B857" s="16">
        <f>IF($A857="","",'Blind Count Entry'!B855)</f>
        <v/>
      </c>
      <c r="C857">
        <f>IF($A857="","",'Blind Count Entry'!C855)</f>
        <v/>
      </c>
      <c r="D857">
        <f>IF($A857="","",'Blind Count Entry'!D855)</f>
        <v/>
      </c>
      <c r="E857">
        <f>IF($A857="","",IFERROR(INDEX('ABC Analysis'!$F:$F,MATCH($C857,'ABC Analysis'!$A:$A,0)),""))</f>
        <v/>
      </c>
      <c r="F857">
        <f>IF($A857="","",IFERROR(INDEX('Master Inventory'!$E:$E,MATCH($C857,'Master Inventory'!$A:$A,0)),0))</f>
        <v/>
      </c>
      <c r="G857">
        <f>IF($A857="","",'Blind Count Entry'!F855)</f>
        <v/>
      </c>
      <c r="H857">
        <f>IF($A857="","",G857-F857)</f>
        <v/>
      </c>
      <c r="I857" s="17">
        <f>IF($A857="","",IF(F857=0,IF(H857=0,0,1),ABS(H857)/F857))</f>
        <v/>
      </c>
      <c r="J857" s="18">
        <f>IF($A857="","",IF($E857="A",$E$1,IF($E857="B",$G$1,$I$1)))</f>
        <v/>
      </c>
      <c r="K857">
        <f>IF($A857="","",IF(H857=0,"MATCH",IF(I857&gt;J857,"RECOUNT","WITHIN TOLERANCE")))</f>
        <v/>
      </c>
      <c r="L857" s="5" t="n"/>
      <c r="M857">
        <f>IF(OR($A857="",$L857=""),"",L857-F857)</f>
        <v/>
      </c>
      <c r="N857" s="5" t="n"/>
      <c r="O857" s="5" t="n"/>
    </row>
    <row r="858">
      <c r="A858">
        <f>IF('Blind Count Entry'!A856="","",'Blind Count Entry'!A856)</f>
        <v/>
      </c>
      <c r="B858" s="16">
        <f>IF($A858="","",'Blind Count Entry'!B856)</f>
        <v/>
      </c>
      <c r="C858">
        <f>IF($A858="","",'Blind Count Entry'!C856)</f>
        <v/>
      </c>
      <c r="D858">
        <f>IF($A858="","",'Blind Count Entry'!D856)</f>
        <v/>
      </c>
      <c r="E858">
        <f>IF($A858="","",IFERROR(INDEX('ABC Analysis'!$F:$F,MATCH($C858,'ABC Analysis'!$A:$A,0)),""))</f>
        <v/>
      </c>
      <c r="F858">
        <f>IF($A858="","",IFERROR(INDEX('Master Inventory'!$E:$E,MATCH($C858,'Master Inventory'!$A:$A,0)),0))</f>
        <v/>
      </c>
      <c r="G858">
        <f>IF($A858="","",'Blind Count Entry'!F856)</f>
        <v/>
      </c>
      <c r="H858">
        <f>IF($A858="","",G858-F858)</f>
        <v/>
      </c>
      <c r="I858" s="17">
        <f>IF($A858="","",IF(F858=0,IF(H858=0,0,1),ABS(H858)/F858))</f>
        <v/>
      </c>
      <c r="J858" s="18">
        <f>IF($A858="","",IF($E858="A",$E$1,IF($E858="B",$G$1,$I$1)))</f>
        <v/>
      </c>
      <c r="K858">
        <f>IF($A858="","",IF(H858=0,"MATCH",IF(I858&gt;J858,"RECOUNT","WITHIN TOLERANCE")))</f>
        <v/>
      </c>
      <c r="L858" s="5" t="n"/>
      <c r="M858">
        <f>IF(OR($A858="",$L858=""),"",L858-F858)</f>
        <v/>
      </c>
      <c r="N858" s="5" t="n"/>
      <c r="O858" s="5" t="n"/>
    </row>
    <row r="859">
      <c r="A859">
        <f>IF('Blind Count Entry'!A857="","",'Blind Count Entry'!A857)</f>
        <v/>
      </c>
      <c r="B859" s="16">
        <f>IF($A859="","",'Blind Count Entry'!B857)</f>
        <v/>
      </c>
      <c r="C859">
        <f>IF($A859="","",'Blind Count Entry'!C857)</f>
        <v/>
      </c>
      <c r="D859">
        <f>IF($A859="","",'Blind Count Entry'!D857)</f>
        <v/>
      </c>
      <c r="E859">
        <f>IF($A859="","",IFERROR(INDEX('ABC Analysis'!$F:$F,MATCH($C859,'ABC Analysis'!$A:$A,0)),""))</f>
        <v/>
      </c>
      <c r="F859">
        <f>IF($A859="","",IFERROR(INDEX('Master Inventory'!$E:$E,MATCH($C859,'Master Inventory'!$A:$A,0)),0))</f>
        <v/>
      </c>
      <c r="G859">
        <f>IF($A859="","",'Blind Count Entry'!F857)</f>
        <v/>
      </c>
      <c r="H859">
        <f>IF($A859="","",G859-F859)</f>
        <v/>
      </c>
      <c r="I859" s="17">
        <f>IF($A859="","",IF(F859=0,IF(H859=0,0,1),ABS(H859)/F859))</f>
        <v/>
      </c>
      <c r="J859" s="18">
        <f>IF($A859="","",IF($E859="A",$E$1,IF($E859="B",$G$1,$I$1)))</f>
        <v/>
      </c>
      <c r="K859">
        <f>IF($A859="","",IF(H859=0,"MATCH",IF(I859&gt;J859,"RECOUNT","WITHIN TOLERANCE")))</f>
        <v/>
      </c>
      <c r="L859" s="5" t="n"/>
      <c r="M859">
        <f>IF(OR($A859="",$L859=""),"",L859-F859)</f>
        <v/>
      </c>
      <c r="N859" s="5" t="n"/>
      <c r="O859" s="5" t="n"/>
    </row>
    <row r="860">
      <c r="A860">
        <f>IF('Blind Count Entry'!A858="","",'Blind Count Entry'!A858)</f>
        <v/>
      </c>
      <c r="B860" s="16">
        <f>IF($A860="","",'Blind Count Entry'!B858)</f>
        <v/>
      </c>
      <c r="C860">
        <f>IF($A860="","",'Blind Count Entry'!C858)</f>
        <v/>
      </c>
      <c r="D860">
        <f>IF($A860="","",'Blind Count Entry'!D858)</f>
        <v/>
      </c>
      <c r="E860">
        <f>IF($A860="","",IFERROR(INDEX('ABC Analysis'!$F:$F,MATCH($C860,'ABC Analysis'!$A:$A,0)),""))</f>
        <v/>
      </c>
      <c r="F860">
        <f>IF($A860="","",IFERROR(INDEX('Master Inventory'!$E:$E,MATCH($C860,'Master Inventory'!$A:$A,0)),0))</f>
        <v/>
      </c>
      <c r="G860">
        <f>IF($A860="","",'Blind Count Entry'!F858)</f>
        <v/>
      </c>
      <c r="H860">
        <f>IF($A860="","",G860-F860)</f>
        <v/>
      </c>
      <c r="I860" s="17">
        <f>IF($A860="","",IF(F860=0,IF(H860=0,0,1),ABS(H860)/F860))</f>
        <v/>
      </c>
      <c r="J860" s="18">
        <f>IF($A860="","",IF($E860="A",$E$1,IF($E860="B",$G$1,$I$1)))</f>
        <v/>
      </c>
      <c r="K860">
        <f>IF($A860="","",IF(H860=0,"MATCH",IF(I860&gt;J860,"RECOUNT","WITHIN TOLERANCE")))</f>
        <v/>
      </c>
      <c r="L860" s="5" t="n"/>
      <c r="M860">
        <f>IF(OR($A860="",$L860=""),"",L860-F860)</f>
        <v/>
      </c>
      <c r="N860" s="5" t="n"/>
      <c r="O860" s="5" t="n"/>
    </row>
    <row r="861">
      <c r="A861">
        <f>IF('Blind Count Entry'!A859="","",'Blind Count Entry'!A859)</f>
        <v/>
      </c>
      <c r="B861" s="16">
        <f>IF($A861="","",'Blind Count Entry'!B859)</f>
        <v/>
      </c>
      <c r="C861">
        <f>IF($A861="","",'Blind Count Entry'!C859)</f>
        <v/>
      </c>
      <c r="D861">
        <f>IF($A861="","",'Blind Count Entry'!D859)</f>
        <v/>
      </c>
      <c r="E861">
        <f>IF($A861="","",IFERROR(INDEX('ABC Analysis'!$F:$F,MATCH($C861,'ABC Analysis'!$A:$A,0)),""))</f>
        <v/>
      </c>
      <c r="F861">
        <f>IF($A861="","",IFERROR(INDEX('Master Inventory'!$E:$E,MATCH($C861,'Master Inventory'!$A:$A,0)),0))</f>
        <v/>
      </c>
      <c r="G861">
        <f>IF($A861="","",'Blind Count Entry'!F859)</f>
        <v/>
      </c>
      <c r="H861">
        <f>IF($A861="","",G861-F861)</f>
        <v/>
      </c>
      <c r="I861" s="17">
        <f>IF($A861="","",IF(F861=0,IF(H861=0,0,1),ABS(H861)/F861))</f>
        <v/>
      </c>
      <c r="J861" s="18">
        <f>IF($A861="","",IF($E861="A",$E$1,IF($E861="B",$G$1,$I$1)))</f>
        <v/>
      </c>
      <c r="K861">
        <f>IF($A861="","",IF(H861=0,"MATCH",IF(I861&gt;J861,"RECOUNT","WITHIN TOLERANCE")))</f>
        <v/>
      </c>
      <c r="L861" s="5" t="n"/>
      <c r="M861">
        <f>IF(OR($A861="",$L861=""),"",L861-F861)</f>
        <v/>
      </c>
      <c r="N861" s="5" t="n"/>
      <c r="O861" s="5" t="n"/>
    </row>
    <row r="862">
      <c r="A862">
        <f>IF('Blind Count Entry'!A860="","",'Blind Count Entry'!A860)</f>
        <v/>
      </c>
      <c r="B862" s="16">
        <f>IF($A862="","",'Blind Count Entry'!B860)</f>
        <v/>
      </c>
      <c r="C862">
        <f>IF($A862="","",'Blind Count Entry'!C860)</f>
        <v/>
      </c>
      <c r="D862">
        <f>IF($A862="","",'Blind Count Entry'!D860)</f>
        <v/>
      </c>
      <c r="E862">
        <f>IF($A862="","",IFERROR(INDEX('ABC Analysis'!$F:$F,MATCH($C862,'ABC Analysis'!$A:$A,0)),""))</f>
        <v/>
      </c>
      <c r="F862">
        <f>IF($A862="","",IFERROR(INDEX('Master Inventory'!$E:$E,MATCH($C862,'Master Inventory'!$A:$A,0)),0))</f>
        <v/>
      </c>
      <c r="G862">
        <f>IF($A862="","",'Blind Count Entry'!F860)</f>
        <v/>
      </c>
      <c r="H862">
        <f>IF($A862="","",G862-F862)</f>
        <v/>
      </c>
      <c r="I862" s="17">
        <f>IF($A862="","",IF(F862=0,IF(H862=0,0,1),ABS(H862)/F862))</f>
        <v/>
      </c>
      <c r="J862" s="18">
        <f>IF($A862="","",IF($E862="A",$E$1,IF($E862="B",$G$1,$I$1)))</f>
        <v/>
      </c>
      <c r="K862">
        <f>IF($A862="","",IF(H862=0,"MATCH",IF(I862&gt;J862,"RECOUNT","WITHIN TOLERANCE")))</f>
        <v/>
      </c>
      <c r="L862" s="5" t="n"/>
      <c r="M862">
        <f>IF(OR($A862="",$L862=""),"",L862-F862)</f>
        <v/>
      </c>
      <c r="N862" s="5" t="n"/>
      <c r="O862" s="5" t="n"/>
    </row>
    <row r="863">
      <c r="A863">
        <f>IF('Blind Count Entry'!A861="","",'Blind Count Entry'!A861)</f>
        <v/>
      </c>
      <c r="B863" s="16">
        <f>IF($A863="","",'Blind Count Entry'!B861)</f>
        <v/>
      </c>
      <c r="C863">
        <f>IF($A863="","",'Blind Count Entry'!C861)</f>
        <v/>
      </c>
      <c r="D863">
        <f>IF($A863="","",'Blind Count Entry'!D861)</f>
        <v/>
      </c>
      <c r="E863">
        <f>IF($A863="","",IFERROR(INDEX('ABC Analysis'!$F:$F,MATCH($C863,'ABC Analysis'!$A:$A,0)),""))</f>
        <v/>
      </c>
      <c r="F863">
        <f>IF($A863="","",IFERROR(INDEX('Master Inventory'!$E:$E,MATCH($C863,'Master Inventory'!$A:$A,0)),0))</f>
        <v/>
      </c>
      <c r="G863">
        <f>IF($A863="","",'Blind Count Entry'!F861)</f>
        <v/>
      </c>
      <c r="H863">
        <f>IF($A863="","",G863-F863)</f>
        <v/>
      </c>
      <c r="I863" s="17">
        <f>IF($A863="","",IF(F863=0,IF(H863=0,0,1),ABS(H863)/F863))</f>
        <v/>
      </c>
      <c r="J863" s="18">
        <f>IF($A863="","",IF($E863="A",$E$1,IF($E863="B",$G$1,$I$1)))</f>
        <v/>
      </c>
      <c r="K863">
        <f>IF($A863="","",IF(H863=0,"MATCH",IF(I863&gt;J863,"RECOUNT","WITHIN TOLERANCE")))</f>
        <v/>
      </c>
      <c r="L863" s="5" t="n"/>
      <c r="M863">
        <f>IF(OR($A863="",$L863=""),"",L863-F863)</f>
        <v/>
      </c>
      <c r="N863" s="5" t="n"/>
      <c r="O863" s="5" t="n"/>
    </row>
    <row r="864">
      <c r="A864">
        <f>IF('Blind Count Entry'!A862="","",'Blind Count Entry'!A862)</f>
        <v/>
      </c>
      <c r="B864" s="16">
        <f>IF($A864="","",'Blind Count Entry'!B862)</f>
        <v/>
      </c>
      <c r="C864">
        <f>IF($A864="","",'Blind Count Entry'!C862)</f>
        <v/>
      </c>
      <c r="D864">
        <f>IF($A864="","",'Blind Count Entry'!D862)</f>
        <v/>
      </c>
      <c r="E864">
        <f>IF($A864="","",IFERROR(INDEX('ABC Analysis'!$F:$F,MATCH($C864,'ABC Analysis'!$A:$A,0)),""))</f>
        <v/>
      </c>
      <c r="F864">
        <f>IF($A864="","",IFERROR(INDEX('Master Inventory'!$E:$E,MATCH($C864,'Master Inventory'!$A:$A,0)),0))</f>
        <v/>
      </c>
      <c r="G864">
        <f>IF($A864="","",'Blind Count Entry'!F862)</f>
        <v/>
      </c>
      <c r="H864">
        <f>IF($A864="","",G864-F864)</f>
        <v/>
      </c>
      <c r="I864" s="17">
        <f>IF($A864="","",IF(F864=0,IF(H864=0,0,1),ABS(H864)/F864))</f>
        <v/>
      </c>
      <c r="J864" s="18">
        <f>IF($A864="","",IF($E864="A",$E$1,IF($E864="B",$G$1,$I$1)))</f>
        <v/>
      </c>
      <c r="K864">
        <f>IF($A864="","",IF(H864=0,"MATCH",IF(I864&gt;J864,"RECOUNT","WITHIN TOLERANCE")))</f>
        <v/>
      </c>
      <c r="L864" s="5" t="n"/>
      <c r="M864">
        <f>IF(OR($A864="",$L864=""),"",L864-F864)</f>
        <v/>
      </c>
      <c r="N864" s="5" t="n"/>
      <c r="O864" s="5" t="n"/>
    </row>
    <row r="865">
      <c r="A865">
        <f>IF('Blind Count Entry'!A863="","",'Blind Count Entry'!A863)</f>
        <v/>
      </c>
      <c r="B865" s="16">
        <f>IF($A865="","",'Blind Count Entry'!B863)</f>
        <v/>
      </c>
      <c r="C865">
        <f>IF($A865="","",'Blind Count Entry'!C863)</f>
        <v/>
      </c>
      <c r="D865">
        <f>IF($A865="","",'Blind Count Entry'!D863)</f>
        <v/>
      </c>
      <c r="E865">
        <f>IF($A865="","",IFERROR(INDEX('ABC Analysis'!$F:$F,MATCH($C865,'ABC Analysis'!$A:$A,0)),""))</f>
        <v/>
      </c>
      <c r="F865">
        <f>IF($A865="","",IFERROR(INDEX('Master Inventory'!$E:$E,MATCH($C865,'Master Inventory'!$A:$A,0)),0))</f>
        <v/>
      </c>
      <c r="G865">
        <f>IF($A865="","",'Blind Count Entry'!F863)</f>
        <v/>
      </c>
      <c r="H865">
        <f>IF($A865="","",G865-F865)</f>
        <v/>
      </c>
      <c r="I865" s="17">
        <f>IF($A865="","",IF(F865=0,IF(H865=0,0,1),ABS(H865)/F865))</f>
        <v/>
      </c>
      <c r="J865" s="18">
        <f>IF($A865="","",IF($E865="A",$E$1,IF($E865="B",$G$1,$I$1)))</f>
        <v/>
      </c>
      <c r="K865">
        <f>IF($A865="","",IF(H865=0,"MATCH",IF(I865&gt;J865,"RECOUNT","WITHIN TOLERANCE")))</f>
        <v/>
      </c>
      <c r="L865" s="5" t="n"/>
      <c r="M865">
        <f>IF(OR($A865="",$L865=""),"",L865-F865)</f>
        <v/>
      </c>
      <c r="N865" s="5" t="n"/>
      <c r="O865" s="5" t="n"/>
    </row>
    <row r="866">
      <c r="A866">
        <f>IF('Blind Count Entry'!A864="","",'Blind Count Entry'!A864)</f>
        <v/>
      </c>
      <c r="B866" s="16">
        <f>IF($A866="","",'Blind Count Entry'!B864)</f>
        <v/>
      </c>
      <c r="C866">
        <f>IF($A866="","",'Blind Count Entry'!C864)</f>
        <v/>
      </c>
      <c r="D866">
        <f>IF($A866="","",'Blind Count Entry'!D864)</f>
        <v/>
      </c>
      <c r="E866">
        <f>IF($A866="","",IFERROR(INDEX('ABC Analysis'!$F:$F,MATCH($C866,'ABC Analysis'!$A:$A,0)),""))</f>
        <v/>
      </c>
      <c r="F866">
        <f>IF($A866="","",IFERROR(INDEX('Master Inventory'!$E:$E,MATCH($C866,'Master Inventory'!$A:$A,0)),0))</f>
        <v/>
      </c>
      <c r="G866">
        <f>IF($A866="","",'Blind Count Entry'!F864)</f>
        <v/>
      </c>
      <c r="H866">
        <f>IF($A866="","",G866-F866)</f>
        <v/>
      </c>
      <c r="I866" s="17">
        <f>IF($A866="","",IF(F866=0,IF(H866=0,0,1),ABS(H866)/F866))</f>
        <v/>
      </c>
      <c r="J866" s="18">
        <f>IF($A866="","",IF($E866="A",$E$1,IF($E866="B",$G$1,$I$1)))</f>
        <v/>
      </c>
      <c r="K866">
        <f>IF($A866="","",IF(H866=0,"MATCH",IF(I866&gt;J866,"RECOUNT","WITHIN TOLERANCE")))</f>
        <v/>
      </c>
      <c r="L866" s="5" t="n"/>
      <c r="M866">
        <f>IF(OR($A866="",$L866=""),"",L866-F866)</f>
        <v/>
      </c>
      <c r="N866" s="5" t="n"/>
      <c r="O866" s="5" t="n"/>
    </row>
    <row r="867">
      <c r="A867">
        <f>IF('Blind Count Entry'!A865="","",'Blind Count Entry'!A865)</f>
        <v/>
      </c>
      <c r="B867" s="16">
        <f>IF($A867="","",'Blind Count Entry'!B865)</f>
        <v/>
      </c>
      <c r="C867">
        <f>IF($A867="","",'Blind Count Entry'!C865)</f>
        <v/>
      </c>
      <c r="D867">
        <f>IF($A867="","",'Blind Count Entry'!D865)</f>
        <v/>
      </c>
      <c r="E867">
        <f>IF($A867="","",IFERROR(INDEX('ABC Analysis'!$F:$F,MATCH($C867,'ABC Analysis'!$A:$A,0)),""))</f>
        <v/>
      </c>
      <c r="F867">
        <f>IF($A867="","",IFERROR(INDEX('Master Inventory'!$E:$E,MATCH($C867,'Master Inventory'!$A:$A,0)),0))</f>
        <v/>
      </c>
      <c r="G867">
        <f>IF($A867="","",'Blind Count Entry'!F865)</f>
        <v/>
      </c>
      <c r="H867">
        <f>IF($A867="","",G867-F867)</f>
        <v/>
      </c>
      <c r="I867" s="17">
        <f>IF($A867="","",IF(F867=0,IF(H867=0,0,1),ABS(H867)/F867))</f>
        <v/>
      </c>
      <c r="J867" s="18">
        <f>IF($A867="","",IF($E867="A",$E$1,IF($E867="B",$G$1,$I$1)))</f>
        <v/>
      </c>
      <c r="K867">
        <f>IF($A867="","",IF(H867=0,"MATCH",IF(I867&gt;J867,"RECOUNT","WITHIN TOLERANCE")))</f>
        <v/>
      </c>
      <c r="L867" s="5" t="n"/>
      <c r="M867">
        <f>IF(OR($A867="",$L867=""),"",L867-F867)</f>
        <v/>
      </c>
      <c r="N867" s="5" t="n"/>
      <c r="O867" s="5" t="n"/>
    </row>
    <row r="868">
      <c r="A868">
        <f>IF('Blind Count Entry'!A866="","",'Blind Count Entry'!A866)</f>
        <v/>
      </c>
      <c r="B868" s="16">
        <f>IF($A868="","",'Blind Count Entry'!B866)</f>
        <v/>
      </c>
      <c r="C868">
        <f>IF($A868="","",'Blind Count Entry'!C866)</f>
        <v/>
      </c>
      <c r="D868">
        <f>IF($A868="","",'Blind Count Entry'!D866)</f>
        <v/>
      </c>
      <c r="E868">
        <f>IF($A868="","",IFERROR(INDEX('ABC Analysis'!$F:$F,MATCH($C868,'ABC Analysis'!$A:$A,0)),""))</f>
        <v/>
      </c>
      <c r="F868">
        <f>IF($A868="","",IFERROR(INDEX('Master Inventory'!$E:$E,MATCH($C868,'Master Inventory'!$A:$A,0)),0))</f>
        <v/>
      </c>
      <c r="G868">
        <f>IF($A868="","",'Blind Count Entry'!F866)</f>
        <v/>
      </c>
      <c r="H868">
        <f>IF($A868="","",G868-F868)</f>
        <v/>
      </c>
      <c r="I868" s="17">
        <f>IF($A868="","",IF(F868=0,IF(H868=0,0,1),ABS(H868)/F868))</f>
        <v/>
      </c>
      <c r="J868" s="18">
        <f>IF($A868="","",IF($E868="A",$E$1,IF($E868="B",$G$1,$I$1)))</f>
        <v/>
      </c>
      <c r="K868">
        <f>IF($A868="","",IF(H868=0,"MATCH",IF(I868&gt;J868,"RECOUNT","WITHIN TOLERANCE")))</f>
        <v/>
      </c>
      <c r="L868" s="5" t="n"/>
      <c r="M868">
        <f>IF(OR($A868="",$L868=""),"",L868-F868)</f>
        <v/>
      </c>
      <c r="N868" s="5" t="n"/>
      <c r="O868" s="5" t="n"/>
    </row>
    <row r="869">
      <c r="A869">
        <f>IF('Blind Count Entry'!A867="","",'Blind Count Entry'!A867)</f>
        <v/>
      </c>
      <c r="B869" s="16">
        <f>IF($A869="","",'Blind Count Entry'!B867)</f>
        <v/>
      </c>
      <c r="C869">
        <f>IF($A869="","",'Blind Count Entry'!C867)</f>
        <v/>
      </c>
      <c r="D869">
        <f>IF($A869="","",'Blind Count Entry'!D867)</f>
        <v/>
      </c>
      <c r="E869">
        <f>IF($A869="","",IFERROR(INDEX('ABC Analysis'!$F:$F,MATCH($C869,'ABC Analysis'!$A:$A,0)),""))</f>
        <v/>
      </c>
      <c r="F869">
        <f>IF($A869="","",IFERROR(INDEX('Master Inventory'!$E:$E,MATCH($C869,'Master Inventory'!$A:$A,0)),0))</f>
        <v/>
      </c>
      <c r="G869">
        <f>IF($A869="","",'Blind Count Entry'!F867)</f>
        <v/>
      </c>
      <c r="H869">
        <f>IF($A869="","",G869-F869)</f>
        <v/>
      </c>
      <c r="I869" s="17">
        <f>IF($A869="","",IF(F869=0,IF(H869=0,0,1),ABS(H869)/F869))</f>
        <v/>
      </c>
      <c r="J869" s="18">
        <f>IF($A869="","",IF($E869="A",$E$1,IF($E869="B",$G$1,$I$1)))</f>
        <v/>
      </c>
      <c r="K869">
        <f>IF($A869="","",IF(H869=0,"MATCH",IF(I869&gt;J869,"RECOUNT","WITHIN TOLERANCE")))</f>
        <v/>
      </c>
      <c r="L869" s="5" t="n"/>
      <c r="M869">
        <f>IF(OR($A869="",$L869=""),"",L869-F869)</f>
        <v/>
      </c>
      <c r="N869" s="5" t="n"/>
      <c r="O869" s="5" t="n"/>
    </row>
    <row r="870">
      <c r="A870">
        <f>IF('Blind Count Entry'!A868="","",'Blind Count Entry'!A868)</f>
        <v/>
      </c>
      <c r="B870" s="16">
        <f>IF($A870="","",'Blind Count Entry'!B868)</f>
        <v/>
      </c>
      <c r="C870">
        <f>IF($A870="","",'Blind Count Entry'!C868)</f>
        <v/>
      </c>
      <c r="D870">
        <f>IF($A870="","",'Blind Count Entry'!D868)</f>
        <v/>
      </c>
      <c r="E870">
        <f>IF($A870="","",IFERROR(INDEX('ABC Analysis'!$F:$F,MATCH($C870,'ABC Analysis'!$A:$A,0)),""))</f>
        <v/>
      </c>
      <c r="F870">
        <f>IF($A870="","",IFERROR(INDEX('Master Inventory'!$E:$E,MATCH($C870,'Master Inventory'!$A:$A,0)),0))</f>
        <v/>
      </c>
      <c r="G870">
        <f>IF($A870="","",'Blind Count Entry'!F868)</f>
        <v/>
      </c>
      <c r="H870">
        <f>IF($A870="","",G870-F870)</f>
        <v/>
      </c>
      <c r="I870" s="17">
        <f>IF($A870="","",IF(F870=0,IF(H870=0,0,1),ABS(H870)/F870))</f>
        <v/>
      </c>
      <c r="J870" s="18">
        <f>IF($A870="","",IF($E870="A",$E$1,IF($E870="B",$G$1,$I$1)))</f>
        <v/>
      </c>
      <c r="K870">
        <f>IF($A870="","",IF(H870=0,"MATCH",IF(I870&gt;J870,"RECOUNT","WITHIN TOLERANCE")))</f>
        <v/>
      </c>
      <c r="L870" s="5" t="n"/>
      <c r="M870">
        <f>IF(OR($A870="",$L870=""),"",L870-F870)</f>
        <v/>
      </c>
      <c r="N870" s="5" t="n"/>
      <c r="O870" s="5" t="n"/>
    </row>
    <row r="871">
      <c r="A871">
        <f>IF('Blind Count Entry'!A869="","",'Blind Count Entry'!A869)</f>
        <v/>
      </c>
      <c r="B871" s="16">
        <f>IF($A871="","",'Blind Count Entry'!B869)</f>
        <v/>
      </c>
      <c r="C871">
        <f>IF($A871="","",'Blind Count Entry'!C869)</f>
        <v/>
      </c>
      <c r="D871">
        <f>IF($A871="","",'Blind Count Entry'!D869)</f>
        <v/>
      </c>
      <c r="E871">
        <f>IF($A871="","",IFERROR(INDEX('ABC Analysis'!$F:$F,MATCH($C871,'ABC Analysis'!$A:$A,0)),""))</f>
        <v/>
      </c>
      <c r="F871">
        <f>IF($A871="","",IFERROR(INDEX('Master Inventory'!$E:$E,MATCH($C871,'Master Inventory'!$A:$A,0)),0))</f>
        <v/>
      </c>
      <c r="G871">
        <f>IF($A871="","",'Blind Count Entry'!F869)</f>
        <v/>
      </c>
      <c r="H871">
        <f>IF($A871="","",G871-F871)</f>
        <v/>
      </c>
      <c r="I871" s="17">
        <f>IF($A871="","",IF(F871=0,IF(H871=0,0,1),ABS(H871)/F871))</f>
        <v/>
      </c>
      <c r="J871" s="18">
        <f>IF($A871="","",IF($E871="A",$E$1,IF($E871="B",$G$1,$I$1)))</f>
        <v/>
      </c>
      <c r="K871">
        <f>IF($A871="","",IF(H871=0,"MATCH",IF(I871&gt;J871,"RECOUNT","WITHIN TOLERANCE")))</f>
        <v/>
      </c>
      <c r="L871" s="5" t="n"/>
      <c r="M871">
        <f>IF(OR($A871="",$L871=""),"",L871-F871)</f>
        <v/>
      </c>
      <c r="N871" s="5" t="n"/>
      <c r="O871" s="5" t="n"/>
    </row>
    <row r="872">
      <c r="A872">
        <f>IF('Blind Count Entry'!A870="","",'Blind Count Entry'!A870)</f>
        <v/>
      </c>
      <c r="B872" s="16">
        <f>IF($A872="","",'Blind Count Entry'!B870)</f>
        <v/>
      </c>
      <c r="C872">
        <f>IF($A872="","",'Blind Count Entry'!C870)</f>
        <v/>
      </c>
      <c r="D872">
        <f>IF($A872="","",'Blind Count Entry'!D870)</f>
        <v/>
      </c>
      <c r="E872">
        <f>IF($A872="","",IFERROR(INDEX('ABC Analysis'!$F:$F,MATCH($C872,'ABC Analysis'!$A:$A,0)),""))</f>
        <v/>
      </c>
      <c r="F872">
        <f>IF($A872="","",IFERROR(INDEX('Master Inventory'!$E:$E,MATCH($C872,'Master Inventory'!$A:$A,0)),0))</f>
        <v/>
      </c>
      <c r="G872">
        <f>IF($A872="","",'Blind Count Entry'!F870)</f>
        <v/>
      </c>
      <c r="H872">
        <f>IF($A872="","",G872-F872)</f>
        <v/>
      </c>
      <c r="I872" s="17">
        <f>IF($A872="","",IF(F872=0,IF(H872=0,0,1),ABS(H872)/F872))</f>
        <v/>
      </c>
      <c r="J872" s="18">
        <f>IF($A872="","",IF($E872="A",$E$1,IF($E872="B",$G$1,$I$1)))</f>
        <v/>
      </c>
      <c r="K872">
        <f>IF($A872="","",IF(H872=0,"MATCH",IF(I872&gt;J872,"RECOUNT","WITHIN TOLERANCE")))</f>
        <v/>
      </c>
      <c r="L872" s="5" t="n"/>
      <c r="M872">
        <f>IF(OR($A872="",$L872=""),"",L872-F872)</f>
        <v/>
      </c>
      <c r="N872" s="5" t="n"/>
      <c r="O872" s="5" t="n"/>
    </row>
    <row r="873">
      <c r="A873">
        <f>IF('Blind Count Entry'!A871="","",'Blind Count Entry'!A871)</f>
        <v/>
      </c>
      <c r="B873" s="16">
        <f>IF($A873="","",'Blind Count Entry'!B871)</f>
        <v/>
      </c>
      <c r="C873">
        <f>IF($A873="","",'Blind Count Entry'!C871)</f>
        <v/>
      </c>
      <c r="D873">
        <f>IF($A873="","",'Blind Count Entry'!D871)</f>
        <v/>
      </c>
      <c r="E873">
        <f>IF($A873="","",IFERROR(INDEX('ABC Analysis'!$F:$F,MATCH($C873,'ABC Analysis'!$A:$A,0)),""))</f>
        <v/>
      </c>
      <c r="F873">
        <f>IF($A873="","",IFERROR(INDEX('Master Inventory'!$E:$E,MATCH($C873,'Master Inventory'!$A:$A,0)),0))</f>
        <v/>
      </c>
      <c r="G873">
        <f>IF($A873="","",'Blind Count Entry'!F871)</f>
        <v/>
      </c>
      <c r="H873">
        <f>IF($A873="","",G873-F873)</f>
        <v/>
      </c>
      <c r="I873" s="17">
        <f>IF($A873="","",IF(F873=0,IF(H873=0,0,1),ABS(H873)/F873))</f>
        <v/>
      </c>
      <c r="J873" s="18">
        <f>IF($A873="","",IF($E873="A",$E$1,IF($E873="B",$G$1,$I$1)))</f>
        <v/>
      </c>
      <c r="K873">
        <f>IF($A873="","",IF(H873=0,"MATCH",IF(I873&gt;J873,"RECOUNT","WITHIN TOLERANCE")))</f>
        <v/>
      </c>
      <c r="L873" s="5" t="n"/>
      <c r="M873">
        <f>IF(OR($A873="",$L873=""),"",L873-F873)</f>
        <v/>
      </c>
      <c r="N873" s="5" t="n"/>
      <c r="O873" s="5" t="n"/>
    </row>
    <row r="874">
      <c r="A874">
        <f>IF('Blind Count Entry'!A872="","",'Blind Count Entry'!A872)</f>
        <v/>
      </c>
      <c r="B874" s="16">
        <f>IF($A874="","",'Blind Count Entry'!B872)</f>
        <v/>
      </c>
      <c r="C874">
        <f>IF($A874="","",'Blind Count Entry'!C872)</f>
        <v/>
      </c>
      <c r="D874">
        <f>IF($A874="","",'Blind Count Entry'!D872)</f>
        <v/>
      </c>
      <c r="E874">
        <f>IF($A874="","",IFERROR(INDEX('ABC Analysis'!$F:$F,MATCH($C874,'ABC Analysis'!$A:$A,0)),""))</f>
        <v/>
      </c>
      <c r="F874">
        <f>IF($A874="","",IFERROR(INDEX('Master Inventory'!$E:$E,MATCH($C874,'Master Inventory'!$A:$A,0)),0))</f>
        <v/>
      </c>
      <c r="G874">
        <f>IF($A874="","",'Blind Count Entry'!F872)</f>
        <v/>
      </c>
      <c r="H874">
        <f>IF($A874="","",G874-F874)</f>
        <v/>
      </c>
      <c r="I874" s="17">
        <f>IF($A874="","",IF(F874=0,IF(H874=0,0,1),ABS(H874)/F874))</f>
        <v/>
      </c>
      <c r="J874" s="18">
        <f>IF($A874="","",IF($E874="A",$E$1,IF($E874="B",$G$1,$I$1)))</f>
        <v/>
      </c>
      <c r="K874">
        <f>IF($A874="","",IF(H874=0,"MATCH",IF(I874&gt;J874,"RECOUNT","WITHIN TOLERANCE")))</f>
        <v/>
      </c>
      <c r="L874" s="5" t="n"/>
      <c r="M874">
        <f>IF(OR($A874="",$L874=""),"",L874-F874)</f>
        <v/>
      </c>
      <c r="N874" s="5" t="n"/>
      <c r="O874" s="5" t="n"/>
    </row>
    <row r="875">
      <c r="A875">
        <f>IF('Blind Count Entry'!A873="","",'Blind Count Entry'!A873)</f>
        <v/>
      </c>
      <c r="B875" s="16">
        <f>IF($A875="","",'Blind Count Entry'!B873)</f>
        <v/>
      </c>
      <c r="C875">
        <f>IF($A875="","",'Blind Count Entry'!C873)</f>
        <v/>
      </c>
      <c r="D875">
        <f>IF($A875="","",'Blind Count Entry'!D873)</f>
        <v/>
      </c>
      <c r="E875">
        <f>IF($A875="","",IFERROR(INDEX('ABC Analysis'!$F:$F,MATCH($C875,'ABC Analysis'!$A:$A,0)),""))</f>
        <v/>
      </c>
      <c r="F875">
        <f>IF($A875="","",IFERROR(INDEX('Master Inventory'!$E:$E,MATCH($C875,'Master Inventory'!$A:$A,0)),0))</f>
        <v/>
      </c>
      <c r="G875">
        <f>IF($A875="","",'Blind Count Entry'!F873)</f>
        <v/>
      </c>
      <c r="H875">
        <f>IF($A875="","",G875-F875)</f>
        <v/>
      </c>
      <c r="I875" s="17">
        <f>IF($A875="","",IF(F875=0,IF(H875=0,0,1),ABS(H875)/F875))</f>
        <v/>
      </c>
      <c r="J875" s="18">
        <f>IF($A875="","",IF($E875="A",$E$1,IF($E875="B",$G$1,$I$1)))</f>
        <v/>
      </c>
      <c r="K875">
        <f>IF($A875="","",IF(H875=0,"MATCH",IF(I875&gt;J875,"RECOUNT","WITHIN TOLERANCE")))</f>
        <v/>
      </c>
      <c r="L875" s="5" t="n"/>
      <c r="M875">
        <f>IF(OR($A875="",$L875=""),"",L875-F875)</f>
        <v/>
      </c>
      <c r="N875" s="5" t="n"/>
      <c r="O875" s="5" t="n"/>
    </row>
    <row r="876">
      <c r="A876">
        <f>IF('Blind Count Entry'!A874="","",'Blind Count Entry'!A874)</f>
        <v/>
      </c>
      <c r="B876" s="16">
        <f>IF($A876="","",'Blind Count Entry'!B874)</f>
        <v/>
      </c>
      <c r="C876">
        <f>IF($A876="","",'Blind Count Entry'!C874)</f>
        <v/>
      </c>
      <c r="D876">
        <f>IF($A876="","",'Blind Count Entry'!D874)</f>
        <v/>
      </c>
      <c r="E876">
        <f>IF($A876="","",IFERROR(INDEX('ABC Analysis'!$F:$F,MATCH($C876,'ABC Analysis'!$A:$A,0)),""))</f>
        <v/>
      </c>
      <c r="F876">
        <f>IF($A876="","",IFERROR(INDEX('Master Inventory'!$E:$E,MATCH($C876,'Master Inventory'!$A:$A,0)),0))</f>
        <v/>
      </c>
      <c r="G876">
        <f>IF($A876="","",'Blind Count Entry'!F874)</f>
        <v/>
      </c>
      <c r="H876">
        <f>IF($A876="","",G876-F876)</f>
        <v/>
      </c>
      <c r="I876" s="17">
        <f>IF($A876="","",IF(F876=0,IF(H876=0,0,1),ABS(H876)/F876))</f>
        <v/>
      </c>
      <c r="J876" s="18">
        <f>IF($A876="","",IF($E876="A",$E$1,IF($E876="B",$G$1,$I$1)))</f>
        <v/>
      </c>
      <c r="K876">
        <f>IF($A876="","",IF(H876=0,"MATCH",IF(I876&gt;J876,"RECOUNT","WITHIN TOLERANCE")))</f>
        <v/>
      </c>
      <c r="L876" s="5" t="n"/>
      <c r="M876">
        <f>IF(OR($A876="",$L876=""),"",L876-F876)</f>
        <v/>
      </c>
      <c r="N876" s="5" t="n"/>
      <c r="O876" s="5" t="n"/>
    </row>
    <row r="877">
      <c r="A877">
        <f>IF('Blind Count Entry'!A875="","",'Blind Count Entry'!A875)</f>
        <v/>
      </c>
      <c r="B877" s="16">
        <f>IF($A877="","",'Blind Count Entry'!B875)</f>
        <v/>
      </c>
      <c r="C877">
        <f>IF($A877="","",'Blind Count Entry'!C875)</f>
        <v/>
      </c>
      <c r="D877">
        <f>IF($A877="","",'Blind Count Entry'!D875)</f>
        <v/>
      </c>
      <c r="E877">
        <f>IF($A877="","",IFERROR(INDEX('ABC Analysis'!$F:$F,MATCH($C877,'ABC Analysis'!$A:$A,0)),""))</f>
        <v/>
      </c>
      <c r="F877">
        <f>IF($A877="","",IFERROR(INDEX('Master Inventory'!$E:$E,MATCH($C877,'Master Inventory'!$A:$A,0)),0))</f>
        <v/>
      </c>
      <c r="G877">
        <f>IF($A877="","",'Blind Count Entry'!F875)</f>
        <v/>
      </c>
      <c r="H877">
        <f>IF($A877="","",G877-F877)</f>
        <v/>
      </c>
      <c r="I877" s="17">
        <f>IF($A877="","",IF(F877=0,IF(H877=0,0,1),ABS(H877)/F877))</f>
        <v/>
      </c>
      <c r="J877" s="18">
        <f>IF($A877="","",IF($E877="A",$E$1,IF($E877="B",$G$1,$I$1)))</f>
        <v/>
      </c>
      <c r="K877">
        <f>IF($A877="","",IF(H877=0,"MATCH",IF(I877&gt;J877,"RECOUNT","WITHIN TOLERANCE")))</f>
        <v/>
      </c>
      <c r="L877" s="5" t="n"/>
      <c r="M877">
        <f>IF(OR($A877="",$L877=""),"",L877-F877)</f>
        <v/>
      </c>
      <c r="N877" s="5" t="n"/>
      <c r="O877" s="5" t="n"/>
    </row>
    <row r="878">
      <c r="A878">
        <f>IF('Blind Count Entry'!A876="","",'Blind Count Entry'!A876)</f>
        <v/>
      </c>
      <c r="B878" s="16">
        <f>IF($A878="","",'Blind Count Entry'!B876)</f>
        <v/>
      </c>
      <c r="C878">
        <f>IF($A878="","",'Blind Count Entry'!C876)</f>
        <v/>
      </c>
      <c r="D878">
        <f>IF($A878="","",'Blind Count Entry'!D876)</f>
        <v/>
      </c>
      <c r="E878">
        <f>IF($A878="","",IFERROR(INDEX('ABC Analysis'!$F:$F,MATCH($C878,'ABC Analysis'!$A:$A,0)),""))</f>
        <v/>
      </c>
      <c r="F878">
        <f>IF($A878="","",IFERROR(INDEX('Master Inventory'!$E:$E,MATCH($C878,'Master Inventory'!$A:$A,0)),0))</f>
        <v/>
      </c>
      <c r="G878">
        <f>IF($A878="","",'Blind Count Entry'!F876)</f>
        <v/>
      </c>
      <c r="H878">
        <f>IF($A878="","",G878-F878)</f>
        <v/>
      </c>
      <c r="I878" s="17">
        <f>IF($A878="","",IF(F878=0,IF(H878=0,0,1),ABS(H878)/F878))</f>
        <v/>
      </c>
      <c r="J878" s="18">
        <f>IF($A878="","",IF($E878="A",$E$1,IF($E878="B",$G$1,$I$1)))</f>
        <v/>
      </c>
      <c r="K878">
        <f>IF($A878="","",IF(H878=0,"MATCH",IF(I878&gt;J878,"RECOUNT","WITHIN TOLERANCE")))</f>
        <v/>
      </c>
      <c r="L878" s="5" t="n"/>
      <c r="M878">
        <f>IF(OR($A878="",$L878=""),"",L878-F878)</f>
        <v/>
      </c>
      <c r="N878" s="5" t="n"/>
      <c r="O878" s="5" t="n"/>
    </row>
    <row r="879">
      <c r="A879">
        <f>IF('Blind Count Entry'!A877="","",'Blind Count Entry'!A877)</f>
        <v/>
      </c>
      <c r="B879" s="16">
        <f>IF($A879="","",'Blind Count Entry'!B877)</f>
        <v/>
      </c>
      <c r="C879">
        <f>IF($A879="","",'Blind Count Entry'!C877)</f>
        <v/>
      </c>
      <c r="D879">
        <f>IF($A879="","",'Blind Count Entry'!D877)</f>
        <v/>
      </c>
      <c r="E879">
        <f>IF($A879="","",IFERROR(INDEX('ABC Analysis'!$F:$F,MATCH($C879,'ABC Analysis'!$A:$A,0)),""))</f>
        <v/>
      </c>
      <c r="F879">
        <f>IF($A879="","",IFERROR(INDEX('Master Inventory'!$E:$E,MATCH($C879,'Master Inventory'!$A:$A,0)),0))</f>
        <v/>
      </c>
      <c r="G879">
        <f>IF($A879="","",'Blind Count Entry'!F877)</f>
        <v/>
      </c>
      <c r="H879">
        <f>IF($A879="","",G879-F879)</f>
        <v/>
      </c>
      <c r="I879" s="17">
        <f>IF($A879="","",IF(F879=0,IF(H879=0,0,1),ABS(H879)/F879))</f>
        <v/>
      </c>
      <c r="J879" s="18">
        <f>IF($A879="","",IF($E879="A",$E$1,IF($E879="B",$G$1,$I$1)))</f>
        <v/>
      </c>
      <c r="K879">
        <f>IF($A879="","",IF(H879=0,"MATCH",IF(I879&gt;J879,"RECOUNT","WITHIN TOLERANCE")))</f>
        <v/>
      </c>
      <c r="L879" s="5" t="n"/>
      <c r="M879">
        <f>IF(OR($A879="",$L879=""),"",L879-F879)</f>
        <v/>
      </c>
      <c r="N879" s="5" t="n"/>
      <c r="O879" s="5" t="n"/>
    </row>
    <row r="880">
      <c r="A880">
        <f>IF('Blind Count Entry'!A878="","",'Blind Count Entry'!A878)</f>
        <v/>
      </c>
      <c r="B880" s="16">
        <f>IF($A880="","",'Blind Count Entry'!B878)</f>
        <v/>
      </c>
      <c r="C880">
        <f>IF($A880="","",'Blind Count Entry'!C878)</f>
        <v/>
      </c>
      <c r="D880">
        <f>IF($A880="","",'Blind Count Entry'!D878)</f>
        <v/>
      </c>
      <c r="E880">
        <f>IF($A880="","",IFERROR(INDEX('ABC Analysis'!$F:$F,MATCH($C880,'ABC Analysis'!$A:$A,0)),""))</f>
        <v/>
      </c>
      <c r="F880">
        <f>IF($A880="","",IFERROR(INDEX('Master Inventory'!$E:$E,MATCH($C880,'Master Inventory'!$A:$A,0)),0))</f>
        <v/>
      </c>
      <c r="G880">
        <f>IF($A880="","",'Blind Count Entry'!F878)</f>
        <v/>
      </c>
      <c r="H880">
        <f>IF($A880="","",G880-F880)</f>
        <v/>
      </c>
      <c r="I880" s="17">
        <f>IF($A880="","",IF(F880=0,IF(H880=0,0,1),ABS(H880)/F880))</f>
        <v/>
      </c>
      <c r="J880" s="18">
        <f>IF($A880="","",IF($E880="A",$E$1,IF($E880="B",$G$1,$I$1)))</f>
        <v/>
      </c>
      <c r="K880">
        <f>IF($A880="","",IF(H880=0,"MATCH",IF(I880&gt;J880,"RECOUNT","WITHIN TOLERANCE")))</f>
        <v/>
      </c>
      <c r="L880" s="5" t="n"/>
      <c r="M880">
        <f>IF(OR($A880="",$L880=""),"",L880-F880)</f>
        <v/>
      </c>
      <c r="N880" s="5" t="n"/>
      <c r="O880" s="5" t="n"/>
    </row>
    <row r="881">
      <c r="A881">
        <f>IF('Blind Count Entry'!A879="","",'Blind Count Entry'!A879)</f>
        <v/>
      </c>
      <c r="B881" s="16">
        <f>IF($A881="","",'Blind Count Entry'!B879)</f>
        <v/>
      </c>
      <c r="C881">
        <f>IF($A881="","",'Blind Count Entry'!C879)</f>
        <v/>
      </c>
      <c r="D881">
        <f>IF($A881="","",'Blind Count Entry'!D879)</f>
        <v/>
      </c>
      <c r="E881">
        <f>IF($A881="","",IFERROR(INDEX('ABC Analysis'!$F:$F,MATCH($C881,'ABC Analysis'!$A:$A,0)),""))</f>
        <v/>
      </c>
      <c r="F881">
        <f>IF($A881="","",IFERROR(INDEX('Master Inventory'!$E:$E,MATCH($C881,'Master Inventory'!$A:$A,0)),0))</f>
        <v/>
      </c>
      <c r="G881">
        <f>IF($A881="","",'Blind Count Entry'!F879)</f>
        <v/>
      </c>
      <c r="H881">
        <f>IF($A881="","",G881-F881)</f>
        <v/>
      </c>
      <c r="I881" s="17">
        <f>IF($A881="","",IF(F881=0,IF(H881=0,0,1),ABS(H881)/F881))</f>
        <v/>
      </c>
      <c r="J881" s="18">
        <f>IF($A881="","",IF($E881="A",$E$1,IF($E881="B",$G$1,$I$1)))</f>
        <v/>
      </c>
      <c r="K881">
        <f>IF($A881="","",IF(H881=0,"MATCH",IF(I881&gt;J881,"RECOUNT","WITHIN TOLERANCE")))</f>
        <v/>
      </c>
      <c r="L881" s="5" t="n"/>
      <c r="M881">
        <f>IF(OR($A881="",$L881=""),"",L881-F881)</f>
        <v/>
      </c>
      <c r="N881" s="5" t="n"/>
      <c r="O881" s="5" t="n"/>
    </row>
    <row r="882">
      <c r="A882">
        <f>IF('Blind Count Entry'!A880="","",'Blind Count Entry'!A880)</f>
        <v/>
      </c>
      <c r="B882" s="16">
        <f>IF($A882="","",'Blind Count Entry'!B880)</f>
        <v/>
      </c>
      <c r="C882">
        <f>IF($A882="","",'Blind Count Entry'!C880)</f>
        <v/>
      </c>
      <c r="D882">
        <f>IF($A882="","",'Blind Count Entry'!D880)</f>
        <v/>
      </c>
      <c r="E882">
        <f>IF($A882="","",IFERROR(INDEX('ABC Analysis'!$F:$F,MATCH($C882,'ABC Analysis'!$A:$A,0)),""))</f>
        <v/>
      </c>
      <c r="F882">
        <f>IF($A882="","",IFERROR(INDEX('Master Inventory'!$E:$E,MATCH($C882,'Master Inventory'!$A:$A,0)),0))</f>
        <v/>
      </c>
      <c r="G882">
        <f>IF($A882="","",'Blind Count Entry'!F880)</f>
        <v/>
      </c>
      <c r="H882">
        <f>IF($A882="","",G882-F882)</f>
        <v/>
      </c>
      <c r="I882" s="17">
        <f>IF($A882="","",IF(F882=0,IF(H882=0,0,1),ABS(H882)/F882))</f>
        <v/>
      </c>
      <c r="J882" s="18">
        <f>IF($A882="","",IF($E882="A",$E$1,IF($E882="B",$G$1,$I$1)))</f>
        <v/>
      </c>
      <c r="K882">
        <f>IF($A882="","",IF(H882=0,"MATCH",IF(I882&gt;J882,"RECOUNT","WITHIN TOLERANCE")))</f>
        <v/>
      </c>
      <c r="L882" s="5" t="n"/>
      <c r="M882">
        <f>IF(OR($A882="",$L882=""),"",L882-F882)</f>
        <v/>
      </c>
      <c r="N882" s="5" t="n"/>
      <c r="O882" s="5" t="n"/>
    </row>
    <row r="883">
      <c r="A883">
        <f>IF('Blind Count Entry'!A881="","",'Blind Count Entry'!A881)</f>
        <v/>
      </c>
      <c r="B883" s="16">
        <f>IF($A883="","",'Blind Count Entry'!B881)</f>
        <v/>
      </c>
      <c r="C883">
        <f>IF($A883="","",'Blind Count Entry'!C881)</f>
        <v/>
      </c>
      <c r="D883">
        <f>IF($A883="","",'Blind Count Entry'!D881)</f>
        <v/>
      </c>
      <c r="E883">
        <f>IF($A883="","",IFERROR(INDEX('ABC Analysis'!$F:$F,MATCH($C883,'ABC Analysis'!$A:$A,0)),""))</f>
        <v/>
      </c>
      <c r="F883">
        <f>IF($A883="","",IFERROR(INDEX('Master Inventory'!$E:$E,MATCH($C883,'Master Inventory'!$A:$A,0)),0))</f>
        <v/>
      </c>
      <c r="G883">
        <f>IF($A883="","",'Blind Count Entry'!F881)</f>
        <v/>
      </c>
      <c r="H883">
        <f>IF($A883="","",G883-F883)</f>
        <v/>
      </c>
      <c r="I883" s="17">
        <f>IF($A883="","",IF(F883=0,IF(H883=0,0,1),ABS(H883)/F883))</f>
        <v/>
      </c>
      <c r="J883" s="18">
        <f>IF($A883="","",IF($E883="A",$E$1,IF($E883="B",$G$1,$I$1)))</f>
        <v/>
      </c>
      <c r="K883">
        <f>IF($A883="","",IF(H883=0,"MATCH",IF(I883&gt;J883,"RECOUNT","WITHIN TOLERANCE")))</f>
        <v/>
      </c>
      <c r="L883" s="5" t="n"/>
      <c r="M883">
        <f>IF(OR($A883="",$L883=""),"",L883-F883)</f>
        <v/>
      </c>
      <c r="N883" s="5" t="n"/>
      <c r="O883" s="5" t="n"/>
    </row>
    <row r="884">
      <c r="A884">
        <f>IF('Blind Count Entry'!A882="","",'Blind Count Entry'!A882)</f>
        <v/>
      </c>
      <c r="B884" s="16">
        <f>IF($A884="","",'Blind Count Entry'!B882)</f>
        <v/>
      </c>
      <c r="C884">
        <f>IF($A884="","",'Blind Count Entry'!C882)</f>
        <v/>
      </c>
      <c r="D884">
        <f>IF($A884="","",'Blind Count Entry'!D882)</f>
        <v/>
      </c>
      <c r="E884">
        <f>IF($A884="","",IFERROR(INDEX('ABC Analysis'!$F:$F,MATCH($C884,'ABC Analysis'!$A:$A,0)),""))</f>
        <v/>
      </c>
      <c r="F884">
        <f>IF($A884="","",IFERROR(INDEX('Master Inventory'!$E:$E,MATCH($C884,'Master Inventory'!$A:$A,0)),0))</f>
        <v/>
      </c>
      <c r="G884">
        <f>IF($A884="","",'Blind Count Entry'!F882)</f>
        <v/>
      </c>
      <c r="H884">
        <f>IF($A884="","",G884-F884)</f>
        <v/>
      </c>
      <c r="I884" s="17">
        <f>IF($A884="","",IF(F884=0,IF(H884=0,0,1),ABS(H884)/F884))</f>
        <v/>
      </c>
      <c r="J884" s="18">
        <f>IF($A884="","",IF($E884="A",$E$1,IF($E884="B",$G$1,$I$1)))</f>
        <v/>
      </c>
      <c r="K884">
        <f>IF($A884="","",IF(H884=0,"MATCH",IF(I884&gt;J884,"RECOUNT","WITHIN TOLERANCE")))</f>
        <v/>
      </c>
      <c r="L884" s="5" t="n"/>
      <c r="M884">
        <f>IF(OR($A884="",$L884=""),"",L884-F884)</f>
        <v/>
      </c>
      <c r="N884" s="5" t="n"/>
      <c r="O884" s="5" t="n"/>
    </row>
    <row r="885">
      <c r="A885">
        <f>IF('Blind Count Entry'!A883="","",'Blind Count Entry'!A883)</f>
        <v/>
      </c>
      <c r="B885" s="16">
        <f>IF($A885="","",'Blind Count Entry'!B883)</f>
        <v/>
      </c>
      <c r="C885">
        <f>IF($A885="","",'Blind Count Entry'!C883)</f>
        <v/>
      </c>
      <c r="D885">
        <f>IF($A885="","",'Blind Count Entry'!D883)</f>
        <v/>
      </c>
      <c r="E885">
        <f>IF($A885="","",IFERROR(INDEX('ABC Analysis'!$F:$F,MATCH($C885,'ABC Analysis'!$A:$A,0)),""))</f>
        <v/>
      </c>
      <c r="F885">
        <f>IF($A885="","",IFERROR(INDEX('Master Inventory'!$E:$E,MATCH($C885,'Master Inventory'!$A:$A,0)),0))</f>
        <v/>
      </c>
      <c r="G885">
        <f>IF($A885="","",'Blind Count Entry'!F883)</f>
        <v/>
      </c>
      <c r="H885">
        <f>IF($A885="","",G885-F885)</f>
        <v/>
      </c>
      <c r="I885" s="17">
        <f>IF($A885="","",IF(F885=0,IF(H885=0,0,1),ABS(H885)/F885))</f>
        <v/>
      </c>
      <c r="J885" s="18">
        <f>IF($A885="","",IF($E885="A",$E$1,IF($E885="B",$G$1,$I$1)))</f>
        <v/>
      </c>
      <c r="K885">
        <f>IF($A885="","",IF(H885=0,"MATCH",IF(I885&gt;J885,"RECOUNT","WITHIN TOLERANCE")))</f>
        <v/>
      </c>
      <c r="L885" s="5" t="n"/>
      <c r="M885">
        <f>IF(OR($A885="",$L885=""),"",L885-F885)</f>
        <v/>
      </c>
      <c r="N885" s="5" t="n"/>
      <c r="O885" s="5" t="n"/>
    </row>
    <row r="886">
      <c r="A886">
        <f>IF('Blind Count Entry'!A884="","",'Blind Count Entry'!A884)</f>
        <v/>
      </c>
      <c r="B886" s="16">
        <f>IF($A886="","",'Blind Count Entry'!B884)</f>
        <v/>
      </c>
      <c r="C886">
        <f>IF($A886="","",'Blind Count Entry'!C884)</f>
        <v/>
      </c>
      <c r="D886">
        <f>IF($A886="","",'Blind Count Entry'!D884)</f>
        <v/>
      </c>
      <c r="E886">
        <f>IF($A886="","",IFERROR(INDEX('ABC Analysis'!$F:$F,MATCH($C886,'ABC Analysis'!$A:$A,0)),""))</f>
        <v/>
      </c>
      <c r="F886">
        <f>IF($A886="","",IFERROR(INDEX('Master Inventory'!$E:$E,MATCH($C886,'Master Inventory'!$A:$A,0)),0))</f>
        <v/>
      </c>
      <c r="G886">
        <f>IF($A886="","",'Blind Count Entry'!F884)</f>
        <v/>
      </c>
      <c r="H886">
        <f>IF($A886="","",G886-F886)</f>
        <v/>
      </c>
      <c r="I886" s="17">
        <f>IF($A886="","",IF(F886=0,IF(H886=0,0,1),ABS(H886)/F886))</f>
        <v/>
      </c>
      <c r="J886" s="18">
        <f>IF($A886="","",IF($E886="A",$E$1,IF($E886="B",$G$1,$I$1)))</f>
        <v/>
      </c>
      <c r="K886">
        <f>IF($A886="","",IF(H886=0,"MATCH",IF(I886&gt;J886,"RECOUNT","WITHIN TOLERANCE")))</f>
        <v/>
      </c>
      <c r="L886" s="5" t="n"/>
      <c r="M886">
        <f>IF(OR($A886="",$L886=""),"",L886-F886)</f>
        <v/>
      </c>
      <c r="N886" s="5" t="n"/>
      <c r="O886" s="5" t="n"/>
    </row>
    <row r="887">
      <c r="A887">
        <f>IF('Blind Count Entry'!A885="","",'Blind Count Entry'!A885)</f>
        <v/>
      </c>
      <c r="B887" s="16">
        <f>IF($A887="","",'Blind Count Entry'!B885)</f>
        <v/>
      </c>
      <c r="C887">
        <f>IF($A887="","",'Blind Count Entry'!C885)</f>
        <v/>
      </c>
      <c r="D887">
        <f>IF($A887="","",'Blind Count Entry'!D885)</f>
        <v/>
      </c>
      <c r="E887">
        <f>IF($A887="","",IFERROR(INDEX('ABC Analysis'!$F:$F,MATCH($C887,'ABC Analysis'!$A:$A,0)),""))</f>
        <v/>
      </c>
      <c r="F887">
        <f>IF($A887="","",IFERROR(INDEX('Master Inventory'!$E:$E,MATCH($C887,'Master Inventory'!$A:$A,0)),0))</f>
        <v/>
      </c>
      <c r="G887">
        <f>IF($A887="","",'Blind Count Entry'!F885)</f>
        <v/>
      </c>
      <c r="H887">
        <f>IF($A887="","",G887-F887)</f>
        <v/>
      </c>
      <c r="I887" s="17">
        <f>IF($A887="","",IF(F887=0,IF(H887=0,0,1),ABS(H887)/F887))</f>
        <v/>
      </c>
      <c r="J887" s="18">
        <f>IF($A887="","",IF($E887="A",$E$1,IF($E887="B",$G$1,$I$1)))</f>
        <v/>
      </c>
      <c r="K887">
        <f>IF($A887="","",IF(H887=0,"MATCH",IF(I887&gt;J887,"RECOUNT","WITHIN TOLERANCE")))</f>
        <v/>
      </c>
      <c r="L887" s="5" t="n"/>
      <c r="M887">
        <f>IF(OR($A887="",$L887=""),"",L887-F887)</f>
        <v/>
      </c>
      <c r="N887" s="5" t="n"/>
      <c r="O887" s="5" t="n"/>
    </row>
    <row r="888">
      <c r="A888">
        <f>IF('Blind Count Entry'!A886="","",'Blind Count Entry'!A886)</f>
        <v/>
      </c>
      <c r="B888" s="16">
        <f>IF($A888="","",'Blind Count Entry'!B886)</f>
        <v/>
      </c>
      <c r="C888">
        <f>IF($A888="","",'Blind Count Entry'!C886)</f>
        <v/>
      </c>
      <c r="D888">
        <f>IF($A888="","",'Blind Count Entry'!D886)</f>
        <v/>
      </c>
      <c r="E888">
        <f>IF($A888="","",IFERROR(INDEX('ABC Analysis'!$F:$F,MATCH($C888,'ABC Analysis'!$A:$A,0)),""))</f>
        <v/>
      </c>
      <c r="F888">
        <f>IF($A888="","",IFERROR(INDEX('Master Inventory'!$E:$E,MATCH($C888,'Master Inventory'!$A:$A,0)),0))</f>
        <v/>
      </c>
      <c r="G888">
        <f>IF($A888="","",'Blind Count Entry'!F886)</f>
        <v/>
      </c>
      <c r="H888">
        <f>IF($A888="","",G888-F888)</f>
        <v/>
      </c>
      <c r="I888" s="17">
        <f>IF($A888="","",IF(F888=0,IF(H888=0,0,1),ABS(H888)/F888))</f>
        <v/>
      </c>
      <c r="J888" s="18">
        <f>IF($A888="","",IF($E888="A",$E$1,IF($E888="B",$G$1,$I$1)))</f>
        <v/>
      </c>
      <c r="K888">
        <f>IF($A888="","",IF(H888=0,"MATCH",IF(I888&gt;J888,"RECOUNT","WITHIN TOLERANCE")))</f>
        <v/>
      </c>
      <c r="L888" s="5" t="n"/>
      <c r="M888">
        <f>IF(OR($A888="",$L888=""),"",L888-F888)</f>
        <v/>
      </c>
      <c r="N888" s="5" t="n"/>
      <c r="O888" s="5" t="n"/>
    </row>
    <row r="889">
      <c r="A889">
        <f>IF('Blind Count Entry'!A887="","",'Blind Count Entry'!A887)</f>
        <v/>
      </c>
      <c r="B889" s="16">
        <f>IF($A889="","",'Blind Count Entry'!B887)</f>
        <v/>
      </c>
      <c r="C889">
        <f>IF($A889="","",'Blind Count Entry'!C887)</f>
        <v/>
      </c>
      <c r="D889">
        <f>IF($A889="","",'Blind Count Entry'!D887)</f>
        <v/>
      </c>
      <c r="E889">
        <f>IF($A889="","",IFERROR(INDEX('ABC Analysis'!$F:$F,MATCH($C889,'ABC Analysis'!$A:$A,0)),""))</f>
        <v/>
      </c>
      <c r="F889">
        <f>IF($A889="","",IFERROR(INDEX('Master Inventory'!$E:$E,MATCH($C889,'Master Inventory'!$A:$A,0)),0))</f>
        <v/>
      </c>
      <c r="G889">
        <f>IF($A889="","",'Blind Count Entry'!F887)</f>
        <v/>
      </c>
      <c r="H889">
        <f>IF($A889="","",G889-F889)</f>
        <v/>
      </c>
      <c r="I889" s="17">
        <f>IF($A889="","",IF(F889=0,IF(H889=0,0,1),ABS(H889)/F889))</f>
        <v/>
      </c>
      <c r="J889" s="18">
        <f>IF($A889="","",IF($E889="A",$E$1,IF($E889="B",$G$1,$I$1)))</f>
        <v/>
      </c>
      <c r="K889">
        <f>IF($A889="","",IF(H889=0,"MATCH",IF(I889&gt;J889,"RECOUNT","WITHIN TOLERANCE")))</f>
        <v/>
      </c>
      <c r="L889" s="5" t="n"/>
      <c r="M889">
        <f>IF(OR($A889="",$L889=""),"",L889-F889)</f>
        <v/>
      </c>
      <c r="N889" s="5" t="n"/>
      <c r="O889" s="5" t="n"/>
    </row>
    <row r="890">
      <c r="A890">
        <f>IF('Blind Count Entry'!A888="","",'Blind Count Entry'!A888)</f>
        <v/>
      </c>
      <c r="B890" s="16">
        <f>IF($A890="","",'Blind Count Entry'!B888)</f>
        <v/>
      </c>
      <c r="C890">
        <f>IF($A890="","",'Blind Count Entry'!C888)</f>
        <v/>
      </c>
      <c r="D890">
        <f>IF($A890="","",'Blind Count Entry'!D888)</f>
        <v/>
      </c>
      <c r="E890">
        <f>IF($A890="","",IFERROR(INDEX('ABC Analysis'!$F:$F,MATCH($C890,'ABC Analysis'!$A:$A,0)),""))</f>
        <v/>
      </c>
      <c r="F890">
        <f>IF($A890="","",IFERROR(INDEX('Master Inventory'!$E:$E,MATCH($C890,'Master Inventory'!$A:$A,0)),0))</f>
        <v/>
      </c>
      <c r="G890">
        <f>IF($A890="","",'Blind Count Entry'!F888)</f>
        <v/>
      </c>
      <c r="H890">
        <f>IF($A890="","",G890-F890)</f>
        <v/>
      </c>
      <c r="I890" s="17">
        <f>IF($A890="","",IF(F890=0,IF(H890=0,0,1),ABS(H890)/F890))</f>
        <v/>
      </c>
      <c r="J890" s="18">
        <f>IF($A890="","",IF($E890="A",$E$1,IF($E890="B",$G$1,$I$1)))</f>
        <v/>
      </c>
      <c r="K890">
        <f>IF($A890="","",IF(H890=0,"MATCH",IF(I890&gt;J890,"RECOUNT","WITHIN TOLERANCE")))</f>
        <v/>
      </c>
      <c r="L890" s="5" t="n"/>
      <c r="M890">
        <f>IF(OR($A890="",$L890=""),"",L890-F890)</f>
        <v/>
      </c>
      <c r="N890" s="5" t="n"/>
      <c r="O890" s="5" t="n"/>
    </row>
    <row r="891">
      <c r="A891">
        <f>IF('Blind Count Entry'!A889="","",'Blind Count Entry'!A889)</f>
        <v/>
      </c>
      <c r="B891" s="16">
        <f>IF($A891="","",'Blind Count Entry'!B889)</f>
        <v/>
      </c>
      <c r="C891">
        <f>IF($A891="","",'Blind Count Entry'!C889)</f>
        <v/>
      </c>
      <c r="D891">
        <f>IF($A891="","",'Blind Count Entry'!D889)</f>
        <v/>
      </c>
      <c r="E891">
        <f>IF($A891="","",IFERROR(INDEX('ABC Analysis'!$F:$F,MATCH($C891,'ABC Analysis'!$A:$A,0)),""))</f>
        <v/>
      </c>
      <c r="F891">
        <f>IF($A891="","",IFERROR(INDEX('Master Inventory'!$E:$E,MATCH($C891,'Master Inventory'!$A:$A,0)),0))</f>
        <v/>
      </c>
      <c r="G891">
        <f>IF($A891="","",'Blind Count Entry'!F889)</f>
        <v/>
      </c>
      <c r="H891">
        <f>IF($A891="","",G891-F891)</f>
        <v/>
      </c>
      <c r="I891" s="17">
        <f>IF($A891="","",IF(F891=0,IF(H891=0,0,1),ABS(H891)/F891))</f>
        <v/>
      </c>
      <c r="J891" s="18">
        <f>IF($A891="","",IF($E891="A",$E$1,IF($E891="B",$G$1,$I$1)))</f>
        <v/>
      </c>
      <c r="K891">
        <f>IF($A891="","",IF(H891=0,"MATCH",IF(I891&gt;J891,"RECOUNT","WITHIN TOLERANCE")))</f>
        <v/>
      </c>
      <c r="L891" s="5" t="n"/>
      <c r="M891">
        <f>IF(OR($A891="",$L891=""),"",L891-F891)</f>
        <v/>
      </c>
      <c r="N891" s="5" t="n"/>
      <c r="O891" s="5" t="n"/>
    </row>
    <row r="892">
      <c r="A892">
        <f>IF('Blind Count Entry'!A890="","",'Blind Count Entry'!A890)</f>
        <v/>
      </c>
      <c r="B892" s="16">
        <f>IF($A892="","",'Blind Count Entry'!B890)</f>
        <v/>
      </c>
      <c r="C892">
        <f>IF($A892="","",'Blind Count Entry'!C890)</f>
        <v/>
      </c>
      <c r="D892">
        <f>IF($A892="","",'Blind Count Entry'!D890)</f>
        <v/>
      </c>
      <c r="E892">
        <f>IF($A892="","",IFERROR(INDEX('ABC Analysis'!$F:$F,MATCH($C892,'ABC Analysis'!$A:$A,0)),""))</f>
        <v/>
      </c>
      <c r="F892">
        <f>IF($A892="","",IFERROR(INDEX('Master Inventory'!$E:$E,MATCH($C892,'Master Inventory'!$A:$A,0)),0))</f>
        <v/>
      </c>
      <c r="G892">
        <f>IF($A892="","",'Blind Count Entry'!F890)</f>
        <v/>
      </c>
      <c r="H892">
        <f>IF($A892="","",G892-F892)</f>
        <v/>
      </c>
      <c r="I892" s="17">
        <f>IF($A892="","",IF(F892=0,IF(H892=0,0,1),ABS(H892)/F892))</f>
        <v/>
      </c>
      <c r="J892" s="18">
        <f>IF($A892="","",IF($E892="A",$E$1,IF($E892="B",$G$1,$I$1)))</f>
        <v/>
      </c>
      <c r="K892">
        <f>IF($A892="","",IF(H892=0,"MATCH",IF(I892&gt;J892,"RECOUNT","WITHIN TOLERANCE")))</f>
        <v/>
      </c>
      <c r="L892" s="5" t="n"/>
      <c r="M892">
        <f>IF(OR($A892="",$L892=""),"",L892-F892)</f>
        <v/>
      </c>
      <c r="N892" s="5" t="n"/>
      <c r="O892" s="5" t="n"/>
    </row>
    <row r="893">
      <c r="A893">
        <f>IF('Blind Count Entry'!A891="","",'Blind Count Entry'!A891)</f>
        <v/>
      </c>
      <c r="B893" s="16">
        <f>IF($A893="","",'Blind Count Entry'!B891)</f>
        <v/>
      </c>
      <c r="C893">
        <f>IF($A893="","",'Blind Count Entry'!C891)</f>
        <v/>
      </c>
      <c r="D893">
        <f>IF($A893="","",'Blind Count Entry'!D891)</f>
        <v/>
      </c>
      <c r="E893">
        <f>IF($A893="","",IFERROR(INDEX('ABC Analysis'!$F:$F,MATCH($C893,'ABC Analysis'!$A:$A,0)),""))</f>
        <v/>
      </c>
      <c r="F893">
        <f>IF($A893="","",IFERROR(INDEX('Master Inventory'!$E:$E,MATCH($C893,'Master Inventory'!$A:$A,0)),0))</f>
        <v/>
      </c>
      <c r="G893">
        <f>IF($A893="","",'Blind Count Entry'!F891)</f>
        <v/>
      </c>
      <c r="H893">
        <f>IF($A893="","",G893-F893)</f>
        <v/>
      </c>
      <c r="I893" s="17">
        <f>IF($A893="","",IF(F893=0,IF(H893=0,0,1),ABS(H893)/F893))</f>
        <v/>
      </c>
      <c r="J893" s="18">
        <f>IF($A893="","",IF($E893="A",$E$1,IF($E893="B",$G$1,$I$1)))</f>
        <v/>
      </c>
      <c r="K893">
        <f>IF($A893="","",IF(H893=0,"MATCH",IF(I893&gt;J893,"RECOUNT","WITHIN TOLERANCE")))</f>
        <v/>
      </c>
      <c r="L893" s="5" t="n"/>
      <c r="M893">
        <f>IF(OR($A893="",$L893=""),"",L893-F893)</f>
        <v/>
      </c>
      <c r="N893" s="5" t="n"/>
      <c r="O893" s="5" t="n"/>
    </row>
    <row r="894">
      <c r="A894">
        <f>IF('Blind Count Entry'!A892="","",'Blind Count Entry'!A892)</f>
        <v/>
      </c>
      <c r="B894" s="16">
        <f>IF($A894="","",'Blind Count Entry'!B892)</f>
        <v/>
      </c>
      <c r="C894">
        <f>IF($A894="","",'Blind Count Entry'!C892)</f>
        <v/>
      </c>
      <c r="D894">
        <f>IF($A894="","",'Blind Count Entry'!D892)</f>
        <v/>
      </c>
      <c r="E894">
        <f>IF($A894="","",IFERROR(INDEX('ABC Analysis'!$F:$F,MATCH($C894,'ABC Analysis'!$A:$A,0)),""))</f>
        <v/>
      </c>
      <c r="F894">
        <f>IF($A894="","",IFERROR(INDEX('Master Inventory'!$E:$E,MATCH($C894,'Master Inventory'!$A:$A,0)),0))</f>
        <v/>
      </c>
      <c r="G894">
        <f>IF($A894="","",'Blind Count Entry'!F892)</f>
        <v/>
      </c>
      <c r="H894">
        <f>IF($A894="","",G894-F894)</f>
        <v/>
      </c>
      <c r="I894" s="17">
        <f>IF($A894="","",IF(F894=0,IF(H894=0,0,1),ABS(H894)/F894))</f>
        <v/>
      </c>
      <c r="J894" s="18">
        <f>IF($A894="","",IF($E894="A",$E$1,IF($E894="B",$G$1,$I$1)))</f>
        <v/>
      </c>
      <c r="K894">
        <f>IF($A894="","",IF(H894=0,"MATCH",IF(I894&gt;J894,"RECOUNT","WITHIN TOLERANCE")))</f>
        <v/>
      </c>
      <c r="L894" s="5" t="n"/>
      <c r="M894">
        <f>IF(OR($A894="",$L894=""),"",L894-F894)</f>
        <v/>
      </c>
      <c r="N894" s="5" t="n"/>
      <c r="O894" s="5" t="n"/>
    </row>
    <row r="895">
      <c r="A895">
        <f>IF('Blind Count Entry'!A893="","",'Blind Count Entry'!A893)</f>
        <v/>
      </c>
      <c r="B895" s="16">
        <f>IF($A895="","",'Blind Count Entry'!B893)</f>
        <v/>
      </c>
      <c r="C895">
        <f>IF($A895="","",'Blind Count Entry'!C893)</f>
        <v/>
      </c>
      <c r="D895">
        <f>IF($A895="","",'Blind Count Entry'!D893)</f>
        <v/>
      </c>
      <c r="E895">
        <f>IF($A895="","",IFERROR(INDEX('ABC Analysis'!$F:$F,MATCH($C895,'ABC Analysis'!$A:$A,0)),""))</f>
        <v/>
      </c>
      <c r="F895">
        <f>IF($A895="","",IFERROR(INDEX('Master Inventory'!$E:$E,MATCH($C895,'Master Inventory'!$A:$A,0)),0))</f>
        <v/>
      </c>
      <c r="G895">
        <f>IF($A895="","",'Blind Count Entry'!F893)</f>
        <v/>
      </c>
      <c r="H895">
        <f>IF($A895="","",G895-F895)</f>
        <v/>
      </c>
      <c r="I895" s="17">
        <f>IF($A895="","",IF(F895=0,IF(H895=0,0,1),ABS(H895)/F895))</f>
        <v/>
      </c>
      <c r="J895" s="18">
        <f>IF($A895="","",IF($E895="A",$E$1,IF($E895="B",$G$1,$I$1)))</f>
        <v/>
      </c>
      <c r="K895">
        <f>IF($A895="","",IF(H895=0,"MATCH",IF(I895&gt;J895,"RECOUNT","WITHIN TOLERANCE")))</f>
        <v/>
      </c>
      <c r="L895" s="5" t="n"/>
      <c r="M895">
        <f>IF(OR($A895="",$L895=""),"",L895-F895)</f>
        <v/>
      </c>
      <c r="N895" s="5" t="n"/>
      <c r="O895" s="5" t="n"/>
    </row>
    <row r="896">
      <c r="A896">
        <f>IF('Blind Count Entry'!A894="","",'Blind Count Entry'!A894)</f>
        <v/>
      </c>
      <c r="B896" s="16">
        <f>IF($A896="","",'Blind Count Entry'!B894)</f>
        <v/>
      </c>
      <c r="C896">
        <f>IF($A896="","",'Blind Count Entry'!C894)</f>
        <v/>
      </c>
      <c r="D896">
        <f>IF($A896="","",'Blind Count Entry'!D894)</f>
        <v/>
      </c>
      <c r="E896">
        <f>IF($A896="","",IFERROR(INDEX('ABC Analysis'!$F:$F,MATCH($C896,'ABC Analysis'!$A:$A,0)),""))</f>
        <v/>
      </c>
      <c r="F896">
        <f>IF($A896="","",IFERROR(INDEX('Master Inventory'!$E:$E,MATCH($C896,'Master Inventory'!$A:$A,0)),0))</f>
        <v/>
      </c>
      <c r="G896">
        <f>IF($A896="","",'Blind Count Entry'!F894)</f>
        <v/>
      </c>
      <c r="H896">
        <f>IF($A896="","",G896-F896)</f>
        <v/>
      </c>
      <c r="I896" s="17">
        <f>IF($A896="","",IF(F896=0,IF(H896=0,0,1),ABS(H896)/F896))</f>
        <v/>
      </c>
      <c r="J896" s="18">
        <f>IF($A896="","",IF($E896="A",$E$1,IF($E896="B",$G$1,$I$1)))</f>
        <v/>
      </c>
      <c r="K896">
        <f>IF($A896="","",IF(H896=0,"MATCH",IF(I896&gt;J896,"RECOUNT","WITHIN TOLERANCE")))</f>
        <v/>
      </c>
      <c r="L896" s="5" t="n"/>
      <c r="M896">
        <f>IF(OR($A896="",$L896=""),"",L896-F896)</f>
        <v/>
      </c>
      <c r="N896" s="5" t="n"/>
      <c r="O896" s="5" t="n"/>
    </row>
    <row r="897">
      <c r="A897">
        <f>IF('Blind Count Entry'!A895="","",'Blind Count Entry'!A895)</f>
        <v/>
      </c>
      <c r="B897" s="16">
        <f>IF($A897="","",'Blind Count Entry'!B895)</f>
        <v/>
      </c>
      <c r="C897">
        <f>IF($A897="","",'Blind Count Entry'!C895)</f>
        <v/>
      </c>
      <c r="D897">
        <f>IF($A897="","",'Blind Count Entry'!D895)</f>
        <v/>
      </c>
      <c r="E897">
        <f>IF($A897="","",IFERROR(INDEX('ABC Analysis'!$F:$F,MATCH($C897,'ABC Analysis'!$A:$A,0)),""))</f>
        <v/>
      </c>
      <c r="F897">
        <f>IF($A897="","",IFERROR(INDEX('Master Inventory'!$E:$E,MATCH($C897,'Master Inventory'!$A:$A,0)),0))</f>
        <v/>
      </c>
      <c r="G897">
        <f>IF($A897="","",'Blind Count Entry'!F895)</f>
        <v/>
      </c>
      <c r="H897">
        <f>IF($A897="","",G897-F897)</f>
        <v/>
      </c>
      <c r="I897" s="17">
        <f>IF($A897="","",IF(F897=0,IF(H897=0,0,1),ABS(H897)/F897))</f>
        <v/>
      </c>
      <c r="J897" s="18">
        <f>IF($A897="","",IF($E897="A",$E$1,IF($E897="B",$G$1,$I$1)))</f>
        <v/>
      </c>
      <c r="K897">
        <f>IF($A897="","",IF(H897=0,"MATCH",IF(I897&gt;J897,"RECOUNT","WITHIN TOLERANCE")))</f>
        <v/>
      </c>
      <c r="L897" s="5" t="n"/>
      <c r="M897">
        <f>IF(OR($A897="",$L897=""),"",L897-F897)</f>
        <v/>
      </c>
      <c r="N897" s="5" t="n"/>
      <c r="O897" s="5" t="n"/>
    </row>
    <row r="898">
      <c r="A898">
        <f>IF('Blind Count Entry'!A896="","",'Blind Count Entry'!A896)</f>
        <v/>
      </c>
      <c r="B898" s="16">
        <f>IF($A898="","",'Blind Count Entry'!B896)</f>
        <v/>
      </c>
      <c r="C898">
        <f>IF($A898="","",'Blind Count Entry'!C896)</f>
        <v/>
      </c>
      <c r="D898">
        <f>IF($A898="","",'Blind Count Entry'!D896)</f>
        <v/>
      </c>
      <c r="E898">
        <f>IF($A898="","",IFERROR(INDEX('ABC Analysis'!$F:$F,MATCH($C898,'ABC Analysis'!$A:$A,0)),""))</f>
        <v/>
      </c>
      <c r="F898">
        <f>IF($A898="","",IFERROR(INDEX('Master Inventory'!$E:$E,MATCH($C898,'Master Inventory'!$A:$A,0)),0))</f>
        <v/>
      </c>
      <c r="G898">
        <f>IF($A898="","",'Blind Count Entry'!F896)</f>
        <v/>
      </c>
      <c r="H898">
        <f>IF($A898="","",G898-F898)</f>
        <v/>
      </c>
      <c r="I898" s="17">
        <f>IF($A898="","",IF(F898=0,IF(H898=0,0,1),ABS(H898)/F898))</f>
        <v/>
      </c>
      <c r="J898" s="18">
        <f>IF($A898="","",IF($E898="A",$E$1,IF($E898="B",$G$1,$I$1)))</f>
        <v/>
      </c>
      <c r="K898">
        <f>IF($A898="","",IF(H898=0,"MATCH",IF(I898&gt;J898,"RECOUNT","WITHIN TOLERANCE")))</f>
        <v/>
      </c>
      <c r="L898" s="5" t="n"/>
      <c r="M898">
        <f>IF(OR($A898="",$L898=""),"",L898-F898)</f>
        <v/>
      </c>
      <c r="N898" s="5" t="n"/>
      <c r="O898" s="5" t="n"/>
    </row>
    <row r="899">
      <c r="A899">
        <f>IF('Blind Count Entry'!A897="","",'Blind Count Entry'!A897)</f>
        <v/>
      </c>
      <c r="B899" s="16">
        <f>IF($A899="","",'Blind Count Entry'!B897)</f>
        <v/>
      </c>
      <c r="C899">
        <f>IF($A899="","",'Blind Count Entry'!C897)</f>
        <v/>
      </c>
      <c r="D899">
        <f>IF($A899="","",'Blind Count Entry'!D897)</f>
        <v/>
      </c>
      <c r="E899">
        <f>IF($A899="","",IFERROR(INDEX('ABC Analysis'!$F:$F,MATCH($C899,'ABC Analysis'!$A:$A,0)),""))</f>
        <v/>
      </c>
      <c r="F899">
        <f>IF($A899="","",IFERROR(INDEX('Master Inventory'!$E:$E,MATCH($C899,'Master Inventory'!$A:$A,0)),0))</f>
        <v/>
      </c>
      <c r="G899">
        <f>IF($A899="","",'Blind Count Entry'!F897)</f>
        <v/>
      </c>
      <c r="H899">
        <f>IF($A899="","",G899-F899)</f>
        <v/>
      </c>
      <c r="I899" s="17">
        <f>IF($A899="","",IF(F899=0,IF(H899=0,0,1),ABS(H899)/F899))</f>
        <v/>
      </c>
      <c r="J899" s="18">
        <f>IF($A899="","",IF($E899="A",$E$1,IF($E899="B",$G$1,$I$1)))</f>
        <v/>
      </c>
      <c r="K899">
        <f>IF($A899="","",IF(H899=0,"MATCH",IF(I899&gt;J899,"RECOUNT","WITHIN TOLERANCE")))</f>
        <v/>
      </c>
      <c r="L899" s="5" t="n"/>
      <c r="M899">
        <f>IF(OR($A899="",$L899=""),"",L899-F899)</f>
        <v/>
      </c>
      <c r="N899" s="5" t="n"/>
      <c r="O899" s="5" t="n"/>
    </row>
    <row r="900">
      <c r="A900">
        <f>IF('Blind Count Entry'!A898="","",'Blind Count Entry'!A898)</f>
        <v/>
      </c>
      <c r="B900" s="16">
        <f>IF($A900="","",'Blind Count Entry'!B898)</f>
        <v/>
      </c>
      <c r="C900">
        <f>IF($A900="","",'Blind Count Entry'!C898)</f>
        <v/>
      </c>
      <c r="D900">
        <f>IF($A900="","",'Blind Count Entry'!D898)</f>
        <v/>
      </c>
      <c r="E900">
        <f>IF($A900="","",IFERROR(INDEX('ABC Analysis'!$F:$F,MATCH($C900,'ABC Analysis'!$A:$A,0)),""))</f>
        <v/>
      </c>
      <c r="F900">
        <f>IF($A900="","",IFERROR(INDEX('Master Inventory'!$E:$E,MATCH($C900,'Master Inventory'!$A:$A,0)),0))</f>
        <v/>
      </c>
      <c r="G900">
        <f>IF($A900="","",'Blind Count Entry'!F898)</f>
        <v/>
      </c>
      <c r="H900">
        <f>IF($A900="","",G900-F900)</f>
        <v/>
      </c>
      <c r="I900" s="17">
        <f>IF($A900="","",IF(F900=0,IF(H900=0,0,1),ABS(H900)/F900))</f>
        <v/>
      </c>
      <c r="J900" s="18">
        <f>IF($A900="","",IF($E900="A",$E$1,IF($E900="B",$G$1,$I$1)))</f>
        <v/>
      </c>
      <c r="K900">
        <f>IF($A900="","",IF(H900=0,"MATCH",IF(I900&gt;J900,"RECOUNT","WITHIN TOLERANCE")))</f>
        <v/>
      </c>
      <c r="L900" s="5" t="n"/>
      <c r="M900">
        <f>IF(OR($A900="",$L900=""),"",L900-F900)</f>
        <v/>
      </c>
      <c r="N900" s="5" t="n"/>
      <c r="O900" s="5" t="n"/>
    </row>
    <row r="901">
      <c r="A901">
        <f>IF('Blind Count Entry'!A899="","",'Blind Count Entry'!A899)</f>
        <v/>
      </c>
      <c r="B901" s="16">
        <f>IF($A901="","",'Blind Count Entry'!B899)</f>
        <v/>
      </c>
      <c r="C901">
        <f>IF($A901="","",'Blind Count Entry'!C899)</f>
        <v/>
      </c>
      <c r="D901">
        <f>IF($A901="","",'Blind Count Entry'!D899)</f>
        <v/>
      </c>
      <c r="E901">
        <f>IF($A901="","",IFERROR(INDEX('ABC Analysis'!$F:$F,MATCH($C901,'ABC Analysis'!$A:$A,0)),""))</f>
        <v/>
      </c>
      <c r="F901">
        <f>IF($A901="","",IFERROR(INDEX('Master Inventory'!$E:$E,MATCH($C901,'Master Inventory'!$A:$A,0)),0))</f>
        <v/>
      </c>
      <c r="G901">
        <f>IF($A901="","",'Blind Count Entry'!F899)</f>
        <v/>
      </c>
      <c r="H901">
        <f>IF($A901="","",G901-F901)</f>
        <v/>
      </c>
      <c r="I901" s="17">
        <f>IF($A901="","",IF(F901=0,IF(H901=0,0,1),ABS(H901)/F901))</f>
        <v/>
      </c>
      <c r="J901" s="18">
        <f>IF($A901="","",IF($E901="A",$E$1,IF($E901="B",$G$1,$I$1)))</f>
        <v/>
      </c>
      <c r="K901">
        <f>IF($A901="","",IF(H901=0,"MATCH",IF(I901&gt;J901,"RECOUNT","WITHIN TOLERANCE")))</f>
        <v/>
      </c>
      <c r="L901" s="5" t="n"/>
      <c r="M901">
        <f>IF(OR($A901="",$L901=""),"",L901-F901)</f>
        <v/>
      </c>
      <c r="N901" s="5" t="n"/>
      <c r="O901" s="5" t="n"/>
    </row>
    <row r="902">
      <c r="A902">
        <f>IF('Blind Count Entry'!A900="","",'Blind Count Entry'!A900)</f>
        <v/>
      </c>
      <c r="B902" s="16">
        <f>IF($A902="","",'Blind Count Entry'!B900)</f>
        <v/>
      </c>
      <c r="C902">
        <f>IF($A902="","",'Blind Count Entry'!C900)</f>
        <v/>
      </c>
      <c r="D902">
        <f>IF($A902="","",'Blind Count Entry'!D900)</f>
        <v/>
      </c>
      <c r="E902">
        <f>IF($A902="","",IFERROR(INDEX('ABC Analysis'!$F:$F,MATCH($C902,'ABC Analysis'!$A:$A,0)),""))</f>
        <v/>
      </c>
      <c r="F902">
        <f>IF($A902="","",IFERROR(INDEX('Master Inventory'!$E:$E,MATCH($C902,'Master Inventory'!$A:$A,0)),0))</f>
        <v/>
      </c>
      <c r="G902">
        <f>IF($A902="","",'Blind Count Entry'!F900)</f>
        <v/>
      </c>
      <c r="H902">
        <f>IF($A902="","",G902-F902)</f>
        <v/>
      </c>
      <c r="I902" s="17">
        <f>IF($A902="","",IF(F902=0,IF(H902=0,0,1),ABS(H902)/F902))</f>
        <v/>
      </c>
      <c r="J902" s="18">
        <f>IF($A902="","",IF($E902="A",$E$1,IF($E902="B",$G$1,$I$1)))</f>
        <v/>
      </c>
      <c r="K902">
        <f>IF($A902="","",IF(H902=0,"MATCH",IF(I902&gt;J902,"RECOUNT","WITHIN TOLERANCE")))</f>
        <v/>
      </c>
      <c r="L902" s="5" t="n"/>
      <c r="M902">
        <f>IF(OR($A902="",$L902=""),"",L902-F902)</f>
        <v/>
      </c>
      <c r="N902" s="5" t="n"/>
      <c r="O902" s="5" t="n"/>
    </row>
    <row r="903">
      <c r="A903">
        <f>IF('Blind Count Entry'!A901="","",'Blind Count Entry'!A901)</f>
        <v/>
      </c>
      <c r="B903" s="16">
        <f>IF($A903="","",'Blind Count Entry'!B901)</f>
        <v/>
      </c>
      <c r="C903">
        <f>IF($A903="","",'Blind Count Entry'!C901)</f>
        <v/>
      </c>
      <c r="D903">
        <f>IF($A903="","",'Blind Count Entry'!D901)</f>
        <v/>
      </c>
      <c r="E903">
        <f>IF($A903="","",IFERROR(INDEX('ABC Analysis'!$F:$F,MATCH($C903,'ABC Analysis'!$A:$A,0)),""))</f>
        <v/>
      </c>
      <c r="F903">
        <f>IF($A903="","",IFERROR(INDEX('Master Inventory'!$E:$E,MATCH($C903,'Master Inventory'!$A:$A,0)),0))</f>
        <v/>
      </c>
      <c r="G903">
        <f>IF($A903="","",'Blind Count Entry'!F901)</f>
        <v/>
      </c>
      <c r="H903">
        <f>IF($A903="","",G903-F903)</f>
        <v/>
      </c>
      <c r="I903" s="17">
        <f>IF($A903="","",IF(F903=0,IF(H903=0,0,1),ABS(H903)/F903))</f>
        <v/>
      </c>
      <c r="J903" s="18">
        <f>IF($A903="","",IF($E903="A",$E$1,IF($E903="B",$G$1,$I$1)))</f>
        <v/>
      </c>
      <c r="K903">
        <f>IF($A903="","",IF(H903=0,"MATCH",IF(I903&gt;J903,"RECOUNT","WITHIN TOLERANCE")))</f>
        <v/>
      </c>
      <c r="L903" s="5" t="n"/>
      <c r="M903">
        <f>IF(OR($A903="",$L903=""),"",L903-F903)</f>
        <v/>
      </c>
      <c r="N903" s="5" t="n"/>
      <c r="O903" s="5" t="n"/>
    </row>
    <row r="904">
      <c r="A904">
        <f>IF('Blind Count Entry'!A902="","",'Blind Count Entry'!A902)</f>
        <v/>
      </c>
      <c r="B904" s="16">
        <f>IF($A904="","",'Blind Count Entry'!B902)</f>
        <v/>
      </c>
      <c r="C904">
        <f>IF($A904="","",'Blind Count Entry'!C902)</f>
        <v/>
      </c>
      <c r="D904">
        <f>IF($A904="","",'Blind Count Entry'!D902)</f>
        <v/>
      </c>
      <c r="E904">
        <f>IF($A904="","",IFERROR(INDEX('ABC Analysis'!$F:$F,MATCH($C904,'ABC Analysis'!$A:$A,0)),""))</f>
        <v/>
      </c>
      <c r="F904">
        <f>IF($A904="","",IFERROR(INDEX('Master Inventory'!$E:$E,MATCH($C904,'Master Inventory'!$A:$A,0)),0))</f>
        <v/>
      </c>
      <c r="G904">
        <f>IF($A904="","",'Blind Count Entry'!F902)</f>
        <v/>
      </c>
      <c r="H904">
        <f>IF($A904="","",G904-F904)</f>
        <v/>
      </c>
      <c r="I904" s="17">
        <f>IF($A904="","",IF(F904=0,IF(H904=0,0,1),ABS(H904)/F904))</f>
        <v/>
      </c>
      <c r="J904" s="18">
        <f>IF($A904="","",IF($E904="A",$E$1,IF($E904="B",$G$1,$I$1)))</f>
        <v/>
      </c>
      <c r="K904">
        <f>IF($A904="","",IF(H904=0,"MATCH",IF(I904&gt;J904,"RECOUNT","WITHIN TOLERANCE")))</f>
        <v/>
      </c>
      <c r="L904" s="5" t="n"/>
      <c r="M904">
        <f>IF(OR($A904="",$L904=""),"",L904-F904)</f>
        <v/>
      </c>
      <c r="N904" s="5" t="n"/>
      <c r="O904" s="5" t="n"/>
    </row>
    <row r="905">
      <c r="A905">
        <f>IF('Blind Count Entry'!A903="","",'Blind Count Entry'!A903)</f>
        <v/>
      </c>
      <c r="B905" s="16">
        <f>IF($A905="","",'Blind Count Entry'!B903)</f>
        <v/>
      </c>
      <c r="C905">
        <f>IF($A905="","",'Blind Count Entry'!C903)</f>
        <v/>
      </c>
      <c r="D905">
        <f>IF($A905="","",'Blind Count Entry'!D903)</f>
        <v/>
      </c>
      <c r="E905">
        <f>IF($A905="","",IFERROR(INDEX('ABC Analysis'!$F:$F,MATCH($C905,'ABC Analysis'!$A:$A,0)),""))</f>
        <v/>
      </c>
      <c r="F905">
        <f>IF($A905="","",IFERROR(INDEX('Master Inventory'!$E:$E,MATCH($C905,'Master Inventory'!$A:$A,0)),0))</f>
        <v/>
      </c>
      <c r="G905">
        <f>IF($A905="","",'Blind Count Entry'!F903)</f>
        <v/>
      </c>
      <c r="H905">
        <f>IF($A905="","",G905-F905)</f>
        <v/>
      </c>
      <c r="I905" s="17">
        <f>IF($A905="","",IF(F905=0,IF(H905=0,0,1),ABS(H905)/F905))</f>
        <v/>
      </c>
      <c r="J905" s="18">
        <f>IF($A905="","",IF($E905="A",$E$1,IF($E905="B",$G$1,$I$1)))</f>
        <v/>
      </c>
      <c r="K905">
        <f>IF($A905="","",IF(H905=0,"MATCH",IF(I905&gt;J905,"RECOUNT","WITHIN TOLERANCE")))</f>
        <v/>
      </c>
      <c r="L905" s="5" t="n"/>
      <c r="M905">
        <f>IF(OR($A905="",$L905=""),"",L905-F905)</f>
        <v/>
      </c>
      <c r="N905" s="5" t="n"/>
      <c r="O905" s="5" t="n"/>
    </row>
    <row r="906">
      <c r="A906">
        <f>IF('Blind Count Entry'!A904="","",'Blind Count Entry'!A904)</f>
        <v/>
      </c>
      <c r="B906" s="16">
        <f>IF($A906="","",'Blind Count Entry'!B904)</f>
        <v/>
      </c>
      <c r="C906">
        <f>IF($A906="","",'Blind Count Entry'!C904)</f>
        <v/>
      </c>
      <c r="D906">
        <f>IF($A906="","",'Blind Count Entry'!D904)</f>
        <v/>
      </c>
      <c r="E906">
        <f>IF($A906="","",IFERROR(INDEX('ABC Analysis'!$F:$F,MATCH($C906,'ABC Analysis'!$A:$A,0)),""))</f>
        <v/>
      </c>
      <c r="F906">
        <f>IF($A906="","",IFERROR(INDEX('Master Inventory'!$E:$E,MATCH($C906,'Master Inventory'!$A:$A,0)),0))</f>
        <v/>
      </c>
      <c r="G906">
        <f>IF($A906="","",'Blind Count Entry'!F904)</f>
        <v/>
      </c>
      <c r="H906">
        <f>IF($A906="","",G906-F906)</f>
        <v/>
      </c>
      <c r="I906" s="17">
        <f>IF($A906="","",IF(F906=0,IF(H906=0,0,1),ABS(H906)/F906))</f>
        <v/>
      </c>
      <c r="J906" s="18">
        <f>IF($A906="","",IF($E906="A",$E$1,IF($E906="B",$G$1,$I$1)))</f>
        <v/>
      </c>
      <c r="K906">
        <f>IF($A906="","",IF(H906=0,"MATCH",IF(I906&gt;J906,"RECOUNT","WITHIN TOLERANCE")))</f>
        <v/>
      </c>
      <c r="L906" s="5" t="n"/>
      <c r="M906">
        <f>IF(OR($A906="",$L906=""),"",L906-F906)</f>
        <v/>
      </c>
      <c r="N906" s="5" t="n"/>
      <c r="O906" s="5" t="n"/>
    </row>
    <row r="907">
      <c r="A907">
        <f>IF('Blind Count Entry'!A905="","",'Blind Count Entry'!A905)</f>
        <v/>
      </c>
      <c r="B907" s="16">
        <f>IF($A907="","",'Blind Count Entry'!B905)</f>
        <v/>
      </c>
      <c r="C907">
        <f>IF($A907="","",'Blind Count Entry'!C905)</f>
        <v/>
      </c>
      <c r="D907">
        <f>IF($A907="","",'Blind Count Entry'!D905)</f>
        <v/>
      </c>
      <c r="E907">
        <f>IF($A907="","",IFERROR(INDEX('ABC Analysis'!$F:$F,MATCH($C907,'ABC Analysis'!$A:$A,0)),""))</f>
        <v/>
      </c>
      <c r="F907">
        <f>IF($A907="","",IFERROR(INDEX('Master Inventory'!$E:$E,MATCH($C907,'Master Inventory'!$A:$A,0)),0))</f>
        <v/>
      </c>
      <c r="G907">
        <f>IF($A907="","",'Blind Count Entry'!F905)</f>
        <v/>
      </c>
      <c r="H907">
        <f>IF($A907="","",G907-F907)</f>
        <v/>
      </c>
      <c r="I907" s="17">
        <f>IF($A907="","",IF(F907=0,IF(H907=0,0,1),ABS(H907)/F907))</f>
        <v/>
      </c>
      <c r="J907" s="18">
        <f>IF($A907="","",IF($E907="A",$E$1,IF($E907="B",$G$1,$I$1)))</f>
        <v/>
      </c>
      <c r="K907">
        <f>IF($A907="","",IF(H907=0,"MATCH",IF(I907&gt;J907,"RECOUNT","WITHIN TOLERANCE")))</f>
        <v/>
      </c>
      <c r="L907" s="5" t="n"/>
      <c r="M907">
        <f>IF(OR($A907="",$L907=""),"",L907-F907)</f>
        <v/>
      </c>
      <c r="N907" s="5" t="n"/>
      <c r="O907" s="5" t="n"/>
    </row>
    <row r="908">
      <c r="A908">
        <f>IF('Blind Count Entry'!A906="","",'Blind Count Entry'!A906)</f>
        <v/>
      </c>
      <c r="B908" s="16">
        <f>IF($A908="","",'Blind Count Entry'!B906)</f>
        <v/>
      </c>
      <c r="C908">
        <f>IF($A908="","",'Blind Count Entry'!C906)</f>
        <v/>
      </c>
      <c r="D908">
        <f>IF($A908="","",'Blind Count Entry'!D906)</f>
        <v/>
      </c>
      <c r="E908">
        <f>IF($A908="","",IFERROR(INDEX('ABC Analysis'!$F:$F,MATCH($C908,'ABC Analysis'!$A:$A,0)),""))</f>
        <v/>
      </c>
      <c r="F908">
        <f>IF($A908="","",IFERROR(INDEX('Master Inventory'!$E:$E,MATCH($C908,'Master Inventory'!$A:$A,0)),0))</f>
        <v/>
      </c>
      <c r="G908">
        <f>IF($A908="","",'Blind Count Entry'!F906)</f>
        <v/>
      </c>
      <c r="H908">
        <f>IF($A908="","",G908-F908)</f>
        <v/>
      </c>
      <c r="I908" s="17">
        <f>IF($A908="","",IF(F908=0,IF(H908=0,0,1),ABS(H908)/F908))</f>
        <v/>
      </c>
      <c r="J908" s="18">
        <f>IF($A908="","",IF($E908="A",$E$1,IF($E908="B",$G$1,$I$1)))</f>
        <v/>
      </c>
      <c r="K908">
        <f>IF($A908="","",IF(H908=0,"MATCH",IF(I908&gt;J908,"RECOUNT","WITHIN TOLERANCE")))</f>
        <v/>
      </c>
      <c r="L908" s="5" t="n"/>
      <c r="M908">
        <f>IF(OR($A908="",$L908=""),"",L908-F908)</f>
        <v/>
      </c>
      <c r="N908" s="5" t="n"/>
      <c r="O908" s="5" t="n"/>
    </row>
    <row r="909">
      <c r="A909">
        <f>IF('Blind Count Entry'!A907="","",'Blind Count Entry'!A907)</f>
        <v/>
      </c>
      <c r="B909" s="16">
        <f>IF($A909="","",'Blind Count Entry'!B907)</f>
        <v/>
      </c>
      <c r="C909">
        <f>IF($A909="","",'Blind Count Entry'!C907)</f>
        <v/>
      </c>
      <c r="D909">
        <f>IF($A909="","",'Blind Count Entry'!D907)</f>
        <v/>
      </c>
      <c r="E909">
        <f>IF($A909="","",IFERROR(INDEX('ABC Analysis'!$F:$F,MATCH($C909,'ABC Analysis'!$A:$A,0)),""))</f>
        <v/>
      </c>
      <c r="F909">
        <f>IF($A909="","",IFERROR(INDEX('Master Inventory'!$E:$E,MATCH($C909,'Master Inventory'!$A:$A,0)),0))</f>
        <v/>
      </c>
      <c r="G909">
        <f>IF($A909="","",'Blind Count Entry'!F907)</f>
        <v/>
      </c>
      <c r="H909">
        <f>IF($A909="","",G909-F909)</f>
        <v/>
      </c>
      <c r="I909" s="17">
        <f>IF($A909="","",IF(F909=0,IF(H909=0,0,1),ABS(H909)/F909))</f>
        <v/>
      </c>
      <c r="J909" s="18">
        <f>IF($A909="","",IF($E909="A",$E$1,IF($E909="B",$G$1,$I$1)))</f>
        <v/>
      </c>
      <c r="K909">
        <f>IF($A909="","",IF(H909=0,"MATCH",IF(I909&gt;J909,"RECOUNT","WITHIN TOLERANCE")))</f>
        <v/>
      </c>
      <c r="L909" s="5" t="n"/>
      <c r="M909">
        <f>IF(OR($A909="",$L909=""),"",L909-F909)</f>
        <v/>
      </c>
      <c r="N909" s="5" t="n"/>
      <c r="O909" s="5" t="n"/>
    </row>
    <row r="910">
      <c r="A910">
        <f>IF('Blind Count Entry'!A908="","",'Blind Count Entry'!A908)</f>
        <v/>
      </c>
      <c r="B910" s="16">
        <f>IF($A910="","",'Blind Count Entry'!B908)</f>
        <v/>
      </c>
      <c r="C910">
        <f>IF($A910="","",'Blind Count Entry'!C908)</f>
        <v/>
      </c>
      <c r="D910">
        <f>IF($A910="","",'Blind Count Entry'!D908)</f>
        <v/>
      </c>
      <c r="E910">
        <f>IF($A910="","",IFERROR(INDEX('ABC Analysis'!$F:$F,MATCH($C910,'ABC Analysis'!$A:$A,0)),""))</f>
        <v/>
      </c>
      <c r="F910">
        <f>IF($A910="","",IFERROR(INDEX('Master Inventory'!$E:$E,MATCH($C910,'Master Inventory'!$A:$A,0)),0))</f>
        <v/>
      </c>
      <c r="G910">
        <f>IF($A910="","",'Blind Count Entry'!F908)</f>
        <v/>
      </c>
      <c r="H910">
        <f>IF($A910="","",G910-F910)</f>
        <v/>
      </c>
      <c r="I910" s="17">
        <f>IF($A910="","",IF(F910=0,IF(H910=0,0,1),ABS(H910)/F910))</f>
        <v/>
      </c>
      <c r="J910" s="18">
        <f>IF($A910="","",IF($E910="A",$E$1,IF($E910="B",$G$1,$I$1)))</f>
        <v/>
      </c>
      <c r="K910">
        <f>IF($A910="","",IF(H910=0,"MATCH",IF(I910&gt;J910,"RECOUNT","WITHIN TOLERANCE")))</f>
        <v/>
      </c>
      <c r="L910" s="5" t="n"/>
      <c r="M910">
        <f>IF(OR($A910="",$L910=""),"",L910-F910)</f>
        <v/>
      </c>
      <c r="N910" s="5" t="n"/>
      <c r="O910" s="5" t="n"/>
    </row>
    <row r="911">
      <c r="A911">
        <f>IF('Blind Count Entry'!A909="","",'Blind Count Entry'!A909)</f>
        <v/>
      </c>
      <c r="B911" s="16">
        <f>IF($A911="","",'Blind Count Entry'!B909)</f>
        <v/>
      </c>
      <c r="C911">
        <f>IF($A911="","",'Blind Count Entry'!C909)</f>
        <v/>
      </c>
      <c r="D911">
        <f>IF($A911="","",'Blind Count Entry'!D909)</f>
        <v/>
      </c>
      <c r="E911">
        <f>IF($A911="","",IFERROR(INDEX('ABC Analysis'!$F:$F,MATCH($C911,'ABC Analysis'!$A:$A,0)),""))</f>
        <v/>
      </c>
      <c r="F911">
        <f>IF($A911="","",IFERROR(INDEX('Master Inventory'!$E:$E,MATCH($C911,'Master Inventory'!$A:$A,0)),0))</f>
        <v/>
      </c>
      <c r="G911">
        <f>IF($A911="","",'Blind Count Entry'!F909)</f>
        <v/>
      </c>
      <c r="H911">
        <f>IF($A911="","",G911-F911)</f>
        <v/>
      </c>
      <c r="I911" s="17">
        <f>IF($A911="","",IF(F911=0,IF(H911=0,0,1),ABS(H911)/F911))</f>
        <v/>
      </c>
      <c r="J911" s="18">
        <f>IF($A911="","",IF($E911="A",$E$1,IF($E911="B",$G$1,$I$1)))</f>
        <v/>
      </c>
      <c r="K911">
        <f>IF($A911="","",IF(H911=0,"MATCH",IF(I911&gt;J911,"RECOUNT","WITHIN TOLERANCE")))</f>
        <v/>
      </c>
      <c r="L911" s="5" t="n"/>
      <c r="M911">
        <f>IF(OR($A911="",$L911=""),"",L911-F911)</f>
        <v/>
      </c>
      <c r="N911" s="5" t="n"/>
      <c r="O911" s="5" t="n"/>
    </row>
    <row r="912">
      <c r="A912">
        <f>IF('Blind Count Entry'!A910="","",'Blind Count Entry'!A910)</f>
        <v/>
      </c>
      <c r="B912" s="16">
        <f>IF($A912="","",'Blind Count Entry'!B910)</f>
        <v/>
      </c>
      <c r="C912">
        <f>IF($A912="","",'Blind Count Entry'!C910)</f>
        <v/>
      </c>
      <c r="D912">
        <f>IF($A912="","",'Blind Count Entry'!D910)</f>
        <v/>
      </c>
      <c r="E912">
        <f>IF($A912="","",IFERROR(INDEX('ABC Analysis'!$F:$F,MATCH($C912,'ABC Analysis'!$A:$A,0)),""))</f>
        <v/>
      </c>
      <c r="F912">
        <f>IF($A912="","",IFERROR(INDEX('Master Inventory'!$E:$E,MATCH($C912,'Master Inventory'!$A:$A,0)),0))</f>
        <v/>
      </c>
      <c r="G912">
        <f>IF($A912="","",'Blind Count Entry'!F910)</f>
        <v/>
      </c>
      <c r="H912">
        <f>IF($A912="","",G912-F912)</f>
        <v/>
      </c>
      <c r="I912" s="17">
        <f>IF($A912="","",IF(F912=0,IF(H912=0,0,1),ABS(H912)/F912))</f>
        <v/>
      </c>
      <c r="J912" s="18">
        <f>IF($A912="","",IF($E912="A",$E$1,IF($E912="B",$G$1,$I$1)))</f>
        <v/>
      </c>
      <c r="K912">
        <f>IF($A912="","",IF(H912=0,"MATCH",IF(I912&gt;J912,"RECOUNT","WITHIN TOLERANCE")))</f>
        <v/>
      </c>
      <c r="L912" s="5" t="n"/>
      <c r="M912">
        <f>IF(OR($A912="",$L912=""),"",L912-F912)</f>
        <v/>
      </c>
      <c r="N912" s="5" t="n"/>
      <c r="O912" s="5" t="n"/>
    </row>
    <row r="913">
      <c r="A913">
        <f>IF('Blind Count Entry'!A911="","",'Blind Count Entry'!A911)</f>
        <v/>
      </c>
      <c r="B913" s="16">
        <f>IF($A913="","",'Blind Count Entry'!B911)</f>
        <v/>
      </c>
      <c r="C913">
        <f>IF($A913="","",'Blind Count Entry'!C911)</f>
        <v/>
      </c>
      <c r="D913">
        <f>IF($A913="","",'Blind Count Entry'!D911)</f>
        <v/>
      </c>
      <c r="E913">
        <f>IF($A913="","",IFERROR(INDEX('ABC Analysis'!$F:$F,MATCH($C913,'ABC Analysis'!$A:$A,0)),""))</f>
        <v/>
      </c>
      <c r="F913">
        <f>IF($A913="","",IFERROR(INDEX('Master Inventory'!$E:$E,MATCH($C913,'Master Inventory'!$A:$A,0)),0))</f>
        <v/>
      </c>
      <c r="G913">
        <f>IF($A913="","",'Blind Count Entry'!F911)</f>
        <v/>
      </c>
      <c r="H913">
        <f>IF($A913="","",G913-F913)</f>
        <v/>
      </c>
      <c r="I913" s="17">
        <f>IF($A913="","",IF(F913=0,IF(H913=0,0,1),ABS(H913)/F913))</f>
        <v/>
      </c>
      <c r="J913" s="18">
        <f>IF($A913="","",IF($E913="A",$E$1,IF($E913="B",$G$1,$I$1)))</f>
        <v/>
      </c>
      <c r="K913">
        <f>IF($A913="","",IF(H913=0,"MATCH",IF(I913&gt;J913,"RECOUNT","WITHIN TOLERANCE")))</f>
        <v/>
      </c>
      <c r="L913" s="5" t="n"/>
      <c r="M913">
        <f>IF(OR($A913="",$L913=""),"",L913-F913)</f>
        <v/>
      </c>
      <c r="N913" s="5" t="n"/>
      <c r="O913" s="5" t="n"/>
    </row>
    <row r="914">
      <c r="A914">
        <f>IF('Blind Count Entry'!A912="","",'Blind Count Entry'!A912)</f>
        <v/>
      </c>
      <c r="B914" s="16">
        <f>IF($A914="","",'Blind Count Entry'!B912)</f>
        <v/>
      </c>
      <c r="C914">
        <f>IF($A914="","",'Blind Count Entry'!C912)</f>
        <v/>
      </c>
      <c r="D914">
        <f>IF($A914="","",'Blind Count Entry'!D912)</f>
        <v/>
      </c>
      <c r="E914">
        <f>IF($A914="","",IFERROR(INDEX('ABC Analysis'!$F:$F,MATCH($C914,'ABC Analysis'!$A:$A,0)),""))</f>
        <v/>
      </c>
      <c r="F914">
        <f>IF($A914="","",IFERROR(INDEX('Master Inventory'!$E:$E,MATCH($C914,'Master Inventory'!$A:$A,0)),0))</f>
        <v/>
      </c>
      <c r="G914">
        <f>IF($A914="","",'Blind Count Entry'!F912)</f>
        <v/>
      </c>
      <c r="H914">
        <f>IF($A914="","",G914-F914)</f>
        <v/>
      </c>
      <c r="I914" s="17">
        <f>IF($A914="","",IF(F914=0,IF(H914=0,0,1),ABS(H914)/F914))</f>
        <v/>
      </c>
      <c r="J914" s="18">
        <f>IF($A914="","",IF($E914="A",$E$1,IF($E914="B",$G$1,$I$1)))</f>
        <v/>
      </c>
      <c r="K914">
        <f>IF($A914="","",IF(H914=0,"MATCH",IF(I914&gt;J914,"RECOUNT","WITHIN TOLERANCE")))</f>
        <v/>
      </c>
      <c r="L914" s="5" t="n"/>
      <c r="M914">
        <f>IF(OR($A914="",$L914=""),"",L914-F914)</f>
        <v/>
      </c>
      <c r="N914" s="5" t="n"/>
      <c r="O914" s="5" t="n"/>
    </row>
    <row r="915">
      <c r="A915">
        <f>IF('Blind Count Entry'!A913="","",'Blind Count Entry'!A913)</f>
        <v/>
      </c>
      <c r="B915" s="16">
        <f>IF($A915="","",'Blind Count Entry'!B913)</f>
        <v/>
      </c>
      <c r="C915">
        <f>IF($A915="","",'Blind Count Entry'!C913)</f>
        <v/>
      </c>
      <c r="D915">
        <f>IF($A915="","",'Blind Count Entry'!D913)</f>
        <v/>
      </c>
      <c r="E915">
        <f>IF($A915="","",IFERROR(INDEX('ABC Analysis'!$F:$F,MATCH($C915,'ABC Analysis'!$A:$A,0)),""))</f>
        <v/>
      </c>
      <c r="F915">
        <f>IF($A915="","",IFERROR(INDEX('Master Inventory'!$E:$E,MATCH($C915,'Master Inventory'!$A:$A,0)),0))</f>
        <v/>
      </c>
      <c r="G915">
        <f>IF($A915="","",'Blind Count Entry'!F913)</f>
        <v/>
      </c>
      <c r="H915">
        <f>IF($A915="","",G915-F915)</f>
        <v/>
      </c>
      <c r="I915" s="17">
        <f>IF($A915="","",IF(F915=0,IF(H915=0,0,1),ABS(H915)/F915))</f>
        <v/>
      </c>
      <c r="J915" s="18">
        <f>IF($A915="","",IF($E915="A",$E$1,IF($E915="B",$G$1,$I$1)))</f>
        <v/>
      </c>
      <c r="K915">
        <f>IF($A915="","",IF(H915=0,"MATCH",IF(I915&gt;J915,"RECOUNT","WITHIN TOLERANCE")))</f>
        <v/>
      </c>
      <c r="L915" s="5" t="n"/>
      <c r="M915">
        <f>IF(OR($A915="",$L915=""),"",L915-F915)</f>
        <v/>
      </c>
      <c r="N915" s="5" t="n"/>
      <c r="O915" s="5" t="n"/>
    </row>
    <row r="916">
      <c r="A916">
        <f>IF('Blind Count Entry'!A914="","",'Blind Count Entry'!A914)</f>
        <v/>
      </c>
      <c r="B916" s="16">
        <f>IF($A916="","",'Blind Count Entry'!B914)</f>
        <v/>
      </c>
      <c r="C916">
        <f>IF($A916="","",'Blind Count Entry'!C914)</f>
        <v/>
      </c>
      <c r="D916">
        <f>IF($A916="","",'Blind Count Entry'!D914)</f>
        <v/>
      </c>
      <c r="E916">
        <f>IF($A916="","",IFERROR(INDEX('ABC Analysis'!$F:$F,MATCH($C916,'ABC Analysis'!$A:$A,0)),""))</f>
        <v/>
      </c>
      <c r="F916">
        <f>IF($A916="","",IFERROR(INDEX('Master Inventory'!$E:$E,MATCH($C916,'Master Inventory'!$A:$A,0)),0))</f>
        <v/>
      </c>
      <c r="G916">
        <f>IF($A916="","",'Blind Count Entry'!F914)</f>
        <v/>
      </c>
      <c r="H916">
        <f>IF($A916="","",G916-F916)</f>
        <v/>
      </c>
      <c r="I916" s="17">
        <f>IF($A916="","",IF(F916=0,IF(H916=0,0,1),ABS(H916)/F916))</f>
        <v/>
      </c>
      <c r="J916" s="18">
        <f>IF($A916="","",IF($E916="A",$E$1,IF($E916="B",$G$1,$I$1)))</f>
        <v/>
      </c>
      <c r="K916">
        <f>IF($A916="","",IF(H916=0,"MATCH",IF(I916&gt;J916,"RECOUNT","WITHIN TOLERANCE")))</f>
        <v/>
      </c>
      <c r="L916" s="5" t="n"/>
      <c r="M916">
        <f>IF(OR($A916="",$L916=""),"",L916-F916)</f>
        <v/>
      </c>
      <c r="N916" s="5" t="n"/>
      <c r="O916" s="5" t="n"/>
    </row>
    <row r="917">
      <c r="A917">
        <f>IF('Blind Count Entry'!A915="","",'Blind Count Entry'!A915)</f>
        <v/>
      </c>
      <c r="B917" s="16">
        <f>IF($A917="","",'Blind Count Entry'!B915)</f>
        <v/>
      </c>
      <c r="C917">
        <f>IF($A917="","",'Blind Count Entry'!C915)</f>
        <v/>
      </c>
      <c r="D917">
        <f>IF($A917="","",'Blind Count Entry'!D915)</f>
        <v/>
      </c>
      <c r="E917">
        <f>IF($A917="","",IFERROR(INDEX('ABC Analysis'!$F:$F,MATCH($C917,'ABC Analysis'!$A:$A,0)),""))</f>
        <v/>
      </c>
      <c r="F917">
        <f>IF($A917="","",IFERROR(INDEX('Master Inventory'!$E:$E,MATCH($C917,'Master Inventory'!$A:$A,0)),0))</f>
        <v/>
      </c>
      <c r="G917">
        <f>IF($A917="","",'Blind Count Entry'!F915)</f>
        <v/>
      </c>
      <c r="H917">
        <f>IF($A917="","",G917-F917)</f>
        <v/>
      </c>
      <c r="I917" s="17">
        <f>IF($A917="","",IF(F917=0,IF(H917=0,0,1),ABS(H917)/F917))</f>
        <v/>
      </c>
      <c r="J917" s="18">
        <f>IF($A917="","",IF($E917="A",$E$1,IF($E917="B",$G$1,$I$1)))</f>
        <v/>
      </c>
      <c r="K917">
        <f>IF($A917="","",IF(H917=0,"MATCH",IF(I917&gt;J917,"RECOUNT","WITHIN TOLERANCE")))</f>
        <v/>
      </c>
      <c r="L917" s="5" t="n"/>
      <c r="M917">
        <f>IF(OR($A917="",$L917=""),"",L917-F917)</f>
        <v/>
      </c>
      <c r="N917" s="5" t="n"/>
      <c r="O917" s="5" t="n"/>
    </row>
    <row r="918">
      <c r="A918">
        <f>IF('Blind Count Entry'!A916="","",'Blind Count Entry'!A916)</f>
        <v/>
      </c>
      <c r="B918" s="16">
        <f>IF($A918="","",'Blind Count Entry'!B916)</f>
        <v/>
      </c>
      <c r="C918">
        <f>IF($A918="","",'Blind Count Entry'!C916)</f>
        <v/>
      </c>
      <c r="D918">
        <f>IF($A918="","",'Blind Count Entry'!D916)</f>
        <v/>
      </c>
      <c r="E918">
        <f>IF($A918="","",IFERROR(INDEX('ABC Analysis'!$F:$F,MATCH($C918,'ABC Analysis'!$A:$A,0)),""))</f>
        <v/>
      </c>
      <c r="F918">
        <f>IF($A918="","",IFERROR(INDEX('Master Inventory'!$E:$E,MATCH($C918,'Master Inventory'!$A:$A,0)),0))</f>
        <v/>
      </c>
      <c r="G918">
        <f>IF($A918="","",'Blind Count Entry'!F916)</f>
        <v/>
      </c>
      <c r="H918">
        <f>IF($A918="","",G918-F918)</f>
        <v/>
      </c>
      <c r="I918" s="17">
        <f>IF($A918="","",IF(F918=0,IF(H918=0,0,1),ABS(H918)/F918))</f>
        <v/>
      </c>
      <c r="J918" s="18">
        <f>IF($A918="","",IF($E918="A",$E$1,IF($E918="B",$G$1,$I$1)))</f>
        <v/>
      </c>
      <c r="K918">
        <f>IF($A918="","",IF(H918=0,"MATCH",IF(I918&gt;J918,"RECOUNT","WITHIN TOLERANCE")))</f>
        <v/>
      </c>
      <c r="L918" s="5" t="n"/>
      <c r="M918">
        <f>IF(OR($A918="",$L918=""),"",L918-F918)</f>
        <v/>
      </c>
      <c r="N918" s="5" t="n"/>
      <c r="O918" s="5" t="n"/>
    </row>
    <row r="919">
      <c r="A919">
        <f>IF('Blind Count Entry'!A917="","",'Blind Count Entry'!A917)</f>
        <v/>
      </c>
      <c r="B919" s="16">
        <f>IF($A919="","",'Blind Count Entry'!B917)</f>
        <v/>
      </c>
      <c r="C919">
        <f>IF($A919="","",'Blind Count Entry'!C917)</f>
        <v/>
      </c>
      <c r="D919">
        <f>IF($A919="","",'Blind Count Entry'!D917)</f>
        <v/>
      </c>
      <c r="E919">
        <f>IF($A919="","",IFERROR(INDEX('ABC Analysis'!$F:$F,MATCH($C919,'ABC Analysis'!$A:$A,0)),""))</f>
        <v/>
      </c>
      <c r="F919">
        <f>IF($A919="","",IFERROR(INDEX('Master Inventory'!$E:$E,MATCH($C919,'Master Inventory'!$A:$A,0)),0))</f>
        <v/>
      </c>
      <c r="G919">
        <f>IF($A919="","",'Blind Count Entry'!F917)</f>
        <v/>
      </c>
      <c r="H919">
        <f>IF($A919="","",G919-F919)</f>
        <v/>
      </c>
      <c r="I919" s="17">
        <f>IF($A919="","",IF(F919=0,IF(H919=0,0,1),ABS(H919)/F919))</f>
        <v/>
      </c>
      <c r="J919" s="18">
        <f>IF($A919="","",IF($E919="A",$E$1,IF($E919="B",$G$1,$I$1)))</f>
        <v/>
      </c>
      <c r="K919">
        <f>IF($A919="","",IF(H919=0,"MATCH",IF(I919&gt;J919,"RECOUNT","WITHIN TOLERANCE")))</f>
        <v/>
      </c>
      <c r="L919" s="5" t="n"/>
      <c r="M919">
        <f>IF(OR($A919="",$L919=""),"",L919-F919)</f>
        <v/>
      </c>
      <c r="N919" s="5" t="n"/>
      <c r="O919" s="5" t="n"/>
    </row>
    <row r="920">
      <c r="A920">
        <f>IF('Blind Count Entry'!A918="","",'Blind Count Entry'!A918)</f>
        <v/>
      </c>
      <c r="B920" s="16">
        <f>IF($A920="","",'Blind Count Entry'!B918)</f>
        <v/>
      </c>
      <c r="C920">
        <f>IF($A920="","",'Blind Count Entry'!C918)</f>
        <v/>
      </c>
      <c r="D920">
        <f>IF($A920="","",'Blind Count Entry'!D918)</f>
        <v/>
      </c>
      <c r="E920">
        <f>IF($A920="","",IFERROR(INDEX('ABC Analysis'!$F:$F,MATCH($C920,'ABC Analysis'!$A:$A,0)),""))</f>
        <v/>
      </c>
      <c r="F920">
        <f>IF($A920="","",IFERROR(INDEX('Master Inventory'!$E:$E,MATCH($C920,'Master Inventory'!$A:$A,0)),0))</f>
        <v/>
      </c>
      <c r="G920">
        <f>IF($A920="","",'Blind Count Entry'!F918)</f>
        <v/>
      </c>
      <c r="H920">
        <f>IF($A920="","",G920-F920)</f>
        <v/>
      </c>
      <c r="I920" s="17">
        <f>IF($A920="","",IF(F920=0,IF(H920=0,0,1),ABS(H920)/F920))</f>
        <v/>
      </c>
      <c r="J920" s="18">
        <f>IF($A920="","",IF($E920="A",$E$1,IF($E920="B",$G$1,$I$1)))</f>
        <v/>
      </c>
      <c r="K920">
        <f>IF($A920="","",IF(H920=0,"MATCH",IF(I920&gt;J920,"RECOUNT","WITHIN TOLERANCE")))</f>
        <v/>
      </c>
      <c r="L920" s="5" t="n"/>
      <c r="M920">
        <f>IF(OR($A920="",$L920=""),"",L920-F920)</f>
        <v/>
      </c>
      <c r="N920" s="5" t="n"/>
      <c r="O920" s="5" t="n"/>
    </row>
    <row r="921">
      <c r="A921">
        <f>IF('Blind Count Entry'!A919="","",'Blind Count Entry'!A919)</f>
        <v/>
      </c>
      <c r="B921" s="16">
        <f>IF($A921="","",'Blind Count Entry'!B919)</f>
        <v/>
      </c>
      <c r="C921">
        <f>IF($A921="","",'Blind Count Entry'!C919)</f>
        <v/>
      </c>
      <c r="D921">
        <f>IF($A921="","",'Blind Count Entry'!D919)</f>
        <v/>
      </c>
      <c r="E921">
        <f>IF($A921="","",IFERROR(INDEX('ABC Analysis'!$F:$F,MATCH($C921,'ABC Analysis'!$A:$A,0)),""))</f>
        <v/>
      </c>
      <c r="F921">
        <f>IF($A921="","",IFERROR(INDEX('Master Inventory'!$E:$E,MATCH($C921,'Master Inventory'!$A:$A,0)),0))</f>
        <v/>
      </c>
      <c r="G921">
        <f>IF($A921="","",'Blind Count Entry'!F919)</f>
        <v/>
      </c>
      <c r="H921">
        <f>IF($A921="","",G921-F921)</f>
        <v/>
      </c>
      <c r="I921" s="17">
        <f>IF($A921="","",IF(F921=0,IF(H921=0,0,1),ABS(H921)/F921))</f>
        <v/>
      </c>
      <c r="J921" s="18">
        <f>IF($A921="","",IF($E921="A",$E$1,IF($E921="B",$G$1,$I$1)))</f>
        <v/>
      </c>
      <c r="K921">
        <f>IF($A921="","",IF(H921=0,"MATCH",IF(I921&gt;J921,"RECOUNT","WITHIN TOLERANCE")))</f>
        <v/>
      </c>
      <c r="L921" s="5" t="n"/>
      <c r="M921">
        <f>IF(OR($A921="",$L921=""),"",L921-F921)</f>
        <v/>
      </c>
      <c r="N921" s="5" t="n"/>
      <c r="O921" s="5" t="n"/>
    </row>
    <row r="922">
      <c r="A922">
        <f>IF('Blind Count Entry'!A920="","",'Blind Count Entry'!A920)</f>
        <v/>
      </c>
      <c r="B922" s="16">
        <f>IF($A922="","",'Blind Count Entry'!B920)</f>
        <v/>
      </c>
      <c r="C922">
        <f>IF($A922="","",'Blind Count Entry'!C920)</f>
        <v/>
      </c>
      <c r="D922">
        <f>IF($A922="","",'Blind Count Entry'!D920)</f>
        <v/>
      </c>
      <c r="E922">
        <f>IF($A922="","",IFERROR(INDEX('ABC Analysis'!$F:$F,MATCH($C922,'ABC Analysis'!$A:$A,0)),""))</f>
        <v/>
      </c>
      <c r="F922">
        <f>IF($A922="","",IFERROR(INDEX('Master Inventory'!$E:$E,MATCH($C922,'Master Inventory'!$A:$A,0)),0))</f>
        <v/>
      </c>
      <c r="G922">
        <f>IF($A922="","",'Blind Count Entry'!F920)</f>
        <v/>
      </c>
      <c r="H922">
        <f>IF($A922="","",G922-F922)</f>
        <v/>
      </c>
      <c r="I922" s="17">
        <f>IF($A922="","",IF(F922=0,IF(H922=0,0,1),ABS(H922)/F922))</f>
        <v/>
      </c>
      <c r="J922" s="18">
        <f>IF($A922="","",IF($E922="A",$E$1,IF($E922="B",$G$1,$I$1)))</f>
        <v/>
      </c>
      <c r="K922">
        <f>IF($A922="","",IF(H922=0,"MATCH",IF(I922&gt;J922,"RECOUNT","WITHIN TOLERANCE")))</f>
        <v/>
      </c>
      <c r="L922" s="5" t="n"/>
      <c r="M922">
        <f>IF(OR($A922="",$L922=""),"",L922-F922)</f>
        <v/>
      </c>
      <c r="N922" s="5" t="n"/>
      <c r="O922" s="5" t="n"/>
    </row>
    <row r="923">
      <c r="A923">
        <f>IF('Blind Count Entry'!A921="","",'Blind Count Entry'!A921)</f>
        <v/>
      </c>
      <c r="B923" s="16">
        <f>IF($A923="","",'Blind Count Entry'!B921)</f>
        <v/>
      </c>
      <c r="C923">
        <f>IF($A923="","",'Blind Count Entry'!C921)</f>
        <v/>
      </c>
      <c r="D923">
        <f>IF($A923="","",'Blind Count Entry'!D921)</f>
        <v/>
      </c>
      <c r="E923">
        <f>IF($A923="","",IFERROR(INDEX('ABC Analysis'!$F:$F,MATCH($C923,'ABC Analysis'!$A:$A,0)),""))</f>
        <v/>
      </c>
      <c r="F923">
        <f>IF($A923="","",IFERROR(INDEX('Master Inventory'!$E:$E,MATCH($C923,'Master Inventory'!$A:$A,0)),0))</f>
        <v/>
      </c>
      <c r="G923">
        <f>IF($A923="","",'Blind Count Entry'!F921)</f>
        <v/>
      </c>
      <c r="H923">
        <f>IF($A923="","",G923-F923)</f>
        <v/>
      </c>
      <c r="I923" s="17">
        <f>IF($A923="","",IF(F923=0,IF(H923=0,0,1),ABS(H923)/F923))</f>
        <v/>
      </c>
      <c r="J923" s="18">
        <f>IF($A923="","",IF($E923="A",$E$1,IF($E923="B",$G$1,$I$1)))</f>
        <v/>
      </c>
      <c r="K923">
        <f>IF($A923="","",IF(H923=0,"MATCH",IF(I923&gt;J923,"RECOUNT","WITHIN TOLERANCE")))</f>
        <v/>
      </c>
      <c r="L923" s="5" t="n"/>
      <c r="M923">
        <f>IF(OR($A923="",$L923=""),"",L923-F923)</f>
        <v/>
      </c>
      <c r="N923" s="5" t="n"/>
      <c r="O923" s="5" t="n"/>
    </row>
    <row r="924">
      <c r="A924">
        <f>IF('Blind Count Entry'!A922="","",'Blind Count Entry'!A922)</f>
        <v/>
      </c>
      <c r="B924" s="16">
        <f>IF($A924="","",'Blind Count Entry'!B922)</f>
        <v/>
      </c>
      <c r="C924">
        <f>IF($A924="","",'Blind Count Entry'!C922)</f>
        <v/>
      </c>
      <c r="D924">
        <f>IF($A924="","",'Blind Count Entry'!D922)</f>
        <v/>
      </c>
      <c r="E924">
        <f>IF($A924="","",IFERROR(INDEX('ABC Analysis'!$F:$F,MATCH($C924,'ABC Analysis'!$A:$A,0)),""))</f>
        <v/>
      </c>
      <c r="F924">
        <f>IF($A924="","",IFERROR(INDEX('Master Inventory'!$E:$E,MATCH($C924,'Master Inventory'!$A:$A,0)),0))</f>
        <v/>
      </c>
      <c r="G924">
        <f>IF($A924="","",'Blind Count Entry'!F922)</f>
        <v/>
      </c>
      <c r="H924">
        <f>IF($A924="","",G924-F924)</f>
        <v/>
      </c>
      <c r="I924" s="17">
        <f>IF($A924="","",IF(F924=0,IF(H924=0,0,1),ABS(H924)/F924))</f>
        <v/>
      </c>
      <c r="J924" s="18">
        <f>IF($A924="","",IF($E924="A",$E$1,IF($E924="B",$G$1,$I$1)))</f>
        <v/>
      </c>
      <c r="K924">
        <f>IF($A924="","",IF(H924=0,"MATCH",IF(I924&gt;J924,"RECOUNT","WITHIN TOLERANCE")))</f>
        <v/>
      </c>
      <c r="L924" s="5" t="n"/>
      <c r="M924">
        <f>IF(OR($A924="",$L924=""),"",L924-F924)</f>
        <v/>
      </c>
      <c r="N924" s="5" t="n"/>
      <c r="O924" s="5" t="n"/>
    </row>
    <row r="925">
      <c r="A925">
        <f>IF('Blind Count Entry'!A923="","",'Blind Count Entry'!A923)</f>
        <v/>
      </c>
      <c r="B925" s="16">
        <f>IF($A925="","",'Blind Count Entry'!B923)</f>
        <v/>
      </c>
      <c r="C925">
        <f>IF($A925="","",'Blind Count Entry'!C923)</f>
        <v/>
      </c>
      <c r="D925">
        <f>IF($A925="","",'Blind Count Entry'!D923)</f>
        <v/>
      </c>
      <c r="E925">
        <f>IF($A925="","",IFERROR(INDEX('ABC Analysis'!$F:$F,MATCH($C925,'ABC Analysis'!$A:$A,0)),""))</f>
        <v/>
      </c>
      <c r="F925">
        <f>IF($A925="","",IFERROR(INDEX('Master Inventory'!$E:$E,MATCH($C925,'Master Inventory'!$A:$A,0)),0))</f>
        <v/>
      </c>
      <c r="G925">
        <f>IF($A925="","",'Blind Count Entry'!F923)</f>
        <v/>
      </c>
      <c r="H925">
        <f>IF($A925="","",G925-F925)</f>
        <v/>
      </c>
      <c r="I925" s="17">
        <f>IF($A925="","",IF(F925=0,IF(H925=0,0,1),ABS(H925)/F925))</f>
        <v/>
      </c>
      <c r="J925" s="18">
        <f>IF($A925="","",IF($E925="A",$E$1,IF($E925="B",$G$1,$I$1)))</f>
        <v/>
      </c>
      <c r="K925">
        <f>IF($A925="","",IF(H925=0,"MATCH",IF(I925&gt;J925,"RECOUNT","WITHIN TOLERANCE")))</f>
        <v/>
      </c>
      <c r="L925" s="5" t="n"/>
      <c r="M925">
        <f>IF(OR($A925="",$L925=""),"",L925-F925)</f>
        <v/>
      </c>
      <c r="N925" s="5" t="n"/>
      <c r="O925" s="5" t="n"/>
    </row>
    <row r="926">
      <c r="A926">
        <f>IF('Blind Count Entry'!A924="","",'Blind Count Entry'!A924)</f>
        <v/>
      </c>
      <c r="B926" s="16">
        <f>IF($A926="","",'Blind Count Entry'!B924)</f>
        <v/>
      </c>
      <c r="C926">
        <f>IF($A926="","",'Blind Count Entry'!C924)</f>
        <v/>
      </c>
      <c r="D926">
        <f>IF($A926="","",'Blind Count Entry'!D924)</f>
        <v/>
      </c>
      <c r="E926">
        <f>IF($A926="","",IFERROR(INDEX('ABC Analysis'!$F:$F,MATCH($C926,'ABC Analysis'!$A:$A,0)),""))</f>
        <v/>
      </c>
      <c r="F926">
        <f>IF($A926="","",IFERROR(INDEX('Master Inventory'!$E:$E,MATCH($C926,'Master Inventory'!$A:$A,0)),0))</f>
        <v/>
      </c>
      <c r="G926">
        <f>IF($A926="","",'Blind Count Entry'!F924)</f>
        <v/>
      </c>
      <c r="H926">
        <f>IF($A926="","",G926-F926)</f>
        <v/>
      </c>
      <c r="I926" s="17">
        <f>IF($A926="","",IF(F926=0,IF(H926=0,0,1),ABS(H926)/F926))</f>
        <v/>
      </c>
      <c r="J926" s="18">
        <f>IF($A926="","",IF($E926="A",$E$1,IF($E926="B",$G$1,$I$1)))</f>
        <v/>
      </c>
      <c r="K926">
        <f>IF($A926="","",IF(H926=0,"MATCH",IF(I926&gt;J926,"RECOUNT","WITHIN TOLERANCE")))</f>
        <v/>
      </c>
      <c r="L926" s="5" t="n"/>
      <c r="M926">
        <f>IF(OR($A926="",$L926=""),"",L926-F926)</f>
        <v/>
      </c>
      <c r="N926" s="5" t="n"/>
      <c r="O926" s="5" t="n"/>
    </row>
    <row r="927">
      <c r="A927">
        <f>IF('Blind Count Entry'!A925="","",'Blind Count Entry'!A925)</f>
        <v/>
      </c>
      <c r="B927" s="16">
        <f>IF($A927="","",'Blind Count Entry'!B925)</f>
        <v/>
      </c>
      <c r="C927">
        <f>IF($A927="","",'Blind Count Entry'!C925)</f>
        <v/>
      </c>
      <c r="D927">
        <f>IF($A927="","",'Blind Count Entry'!D925)</f>
        <v/>
      </c>
      <c r="E927">
        <f>IF($A927="","",IFERROR(INDEX('ABC Analysis'!$F:$F,MATCH($C927,'ABC Analysis'!$A:$A,0)),""))</f>
        <v/>
      </c>
      <c r="F927">
        <f>IF($A927="","",IFERROR(INDEX('Master Inventory'!$E:$E,MATCH($C927,'Master Inventory'!$A:$A,0)),0))</f>
        <v/>
      </c>
      <c r="G927">
        <f>IF($A927="","",'Blind Count Entry'!F925)</f>
        <v/>
      </c>
      <c r="H927">
        <f>IF($A927="","",G927-F927)</f>
        <v/>
      </c>
      <c r="I927" s="17">
        <f>IF($A927="","",IF(F927=0,IF(H927=0,0,1),ABS(H927)/F927))</f>
        <v/>
      </c>
      <c r="J927" s="18">
        <f>IF($A927="","",IF($E927="A",$E$1,IF($E927="B",$G$1,$I$1)))</f>
        <v/>
      </c>
      <c r="K927">
        <f>IF($A927="","",IF(H927=0,"MATCH",IF(I927&gt;J927,"RECOUNT","WITHIN TOLERANCE")))</f>
        <v/>
      </c>
      <c r="L927" s="5" t="n"/>
      <c r="M927">
        <f>IF(OR($A927="",$L927=""),"",L927-F927)</f>
        <v/>
      </c>
      <c r="N927" s="5" t="n"/>
      <c r="O927" s="5" t="n"/>
    </row>
    <row r="928">
      <c r="A928">
        <f>IF('Blind Count Entry'!A926="","",'Blind Count Entry'!A926)</f>
        <v/>
      </c>
      <c r="B928" s="16">
        <f>IF($A928="","",'Blind Count Entry'!B926)</f>
        <v/>
      </c>
      <c r="C928">
        <f>IF($A928="","",'Blind Count Entry'!C926)</f>
        <v/>
      </c>
      <c r="D928">
        <f>IF($A928="","",'Blind Count Entry'!D926)</f>
        <v/>
      </c>
      <c r="E928">
        <f>IF($A928="","",IFERROR(INDEX('ABC Analysis'!$F:$F,MATCH($C928,'ABC Analysis'!$A:$A,0)),""))</f>
        <v/>
      </c>
      <c r="F928">
        <f>IF($A928="","",IFERROR(INDEX('Master Inventory'!$E:$E,MATCH($C928,'Master Inventory'!$A:$A,0)),0))</f>
        <v/>
      </c>
      <c r="G928">
        <f>IF($A928="","",'Blind Count Entry'!F926)</f>
        <v/>
      </c>
      <c r="H928">
        <f>IF($A928="","",G928-F928)</f>
        <v/>
      </c>
      <c r="I928" s="17">
        <f>IF($A928="","",IF(F928=0,IF(H928=0,0,1),ABS(H928)/F928))</f>
        <v/>
      </c>
      <c r="J928" s="18">
        <f>IF($A928="","",IF($E928="A",$E$1,IF($E928="B",$G$1,$I$1)))</f>
        <v/>
      </c>
      <c r="K928">
        <f>IF($A928="","",IF(H928=0,"MATCH",IF(I928&gt;J928,"RECOUNT","WITHIN TOLERANCE")))</f>
        <v/>
      </c>
      <c r="L928" s="5" t="n"/>
      <c r="M928">
        <f>IF(OR($A928="",$L928=""),"",L928-F928)</f>
        <v/>
      </c>
      <c r="N928" s="5" t="n"/>
      <c r="O928" s="5" t="n"/>
    </row>
    <row r="929">
      <c r="A929">
        <f>IF('Blind Count Entry'!A927="","",'Blind Count Entry'!A927)</f>
        <v/>
      </c>
      <c r="B929" s="16">
        <f>IF($A929="","",'Blind Count Entry'!B927)</f>
        <v/>
      </c>
      <c r="C929">
        <f>IF($A929="","",'Blind Count Entry'!C927)</f>
        <v/>
      </c>
      <c r="D929">
        <f>IF($A929="","",'Blind Count Entry'!D927)</f>
        <v/>
      </c>
      <c r="E929">
        <f>IF($A929="","",IFERROR(INDEX('ABC Analysis'!$F:$F,MATCH($C929,'ABC Analysis'!$A:$A,0)),""))</f>
        <v/>
      </c>
      <c r="F929">
        <f>IF($A929="","",IFERROR(INDEX('Master Inventory'!$E:$E,MATCH($C929,'Master Inventory'!$A:$A,0)),0))</f>
        <v/>
      </c>
      <c r="G929">
        <f>IF($A929="","",'Blind Count Entry'!F927)</f>
        <v/>
      </c>
      <c r="H929">
        <f>IF($A929="","",G929-F929)</f>
        <v/>
      </c>
      <c r="I929" s="17">
        <f>IF($A929="","",IF(F929=0,IF(H929=0,0,1),ABS(H929)/F929))</f>
        <v/>
      </c>
      <c r="J929" s="18">
        <f>IF($A929="","",IF($E929="A",$E$1,IF($E929="B",$G$1,$I$1)))</f>
        <v/>
      </c>
      <c r="K929">
        <f>IF($A929="","",IF(H929=0,"MATCH",IF(I929&gt;J929,"RECOUNT","WITHIN TOLERANCE")))</f>
        <v/>
      </c>
      <c r="L929" s="5" t="n"/>
      <c r="M929">
        <f>IF(OR($A929="",$L929=""),"",L929-F929)</f>
        <v/>
      </c>
      <c r="N929" s="5" t="n"/>
      <c r="O929" s="5" t="n"/>
    </row>
    <row r="930">
      <c r="A930">
        <f>IF('Blind Count Entry'!A928="","",'Blind Count Entry'!A928)</f>
        <v/>
      </c>
      <c r="B930" s="16">
        <f>IF($A930="","",'Blind Count Entry'!B928)</f>
        <v/>
      </c>
      <c r="C930">
        <f>IF($A930="","",'Blind Count Entry'!C928)</f>
        <v/>
      </c>
      <c r="D930">
        <f>IF($A930="","",'Blind Count Entry'!D928)</f>
        <v/>
      </c>
      <c r="E930">
        <f>IF($A930="","",IFERROR(INDEX('ABC Analysis'!$F:$F,MATCH($C930,'ABC Analysis'!$A:$A,0)),""))</f>
        <v/>
      </c>
      <c r="F930">
        <f>IF($A930="","",IFERROR(INDEX('Master Inventory'!$E:$E,MATCH($C930,'Master Inventory'!$A:$A,0)),0))</f>
        <v/>
      </c>
      <c r="G930">
        <f>IF($A930="","",'Blind Count Entry'!F928)</f>
        <v/>
      </c>
      <c r="H930">
        <f>IF($A930="","",G930-F930)</f>
        <v/>
      </c>
      <c r="I930" s="17">
        <f>IF($A930="","",IF(F930=0,IF(H930=0,0,1),ABS(H930)/F930))</f>
        <v/>
      </c>
      <c r="J930" s="18">
        <f>IF($A930="","",IF($E930="A",$E$1,IF($E930="B",$G$1,$I$1)))</f>
        <v/>
      </c>
      <c r="K930">
        <f>IF($A930="","",IF(H930=0,"MATCH",IF(I930&gt;J930,"RECOUNT","WITHIN TOLERANCE")))</f>
        <v/>
      </c>
      <c r="L930" s="5" t="n"/>
      <c r="M930">
        <f>IF(OR($A930="",$L930=""),"",L930-F930)</f>
        <v/>
      </c>
      <c r="N930" s="5" t="n"/>
      <c r="O930" s="5" t="n"/>
    </row>
    <row r="931">
      <c r="A931">
        <f>IF('Blind Count Entry'!A929="","",'Blind Count Entry'!A929)</f>
        <v/>
      </c>
      <c r="B931" s="16">
        <f>IF($A931="","",'Blind Count Entry'!B929)</f>
        <v/>
      </c>
      <c r="C931">
        <f>IF($A931="","",'Blind Count Entry'!C929)</f>
        <v/>
      </c>
      <c r="D931">
        <f>IF($A931="","",'Blind Count Entry'!D929)</f>
        <v/>
      </c>
      <c r="E931">
        <f>IF($A931="","",IFERROR(INDEX('ABC Analysis'!$F:$F,MATCH($C931,'ABC Analysis'!$A:$A,0)),""))</f>
        <v/>
      </c>
      <c r="F931">
        <f>IF($A931="","",IFERROR(INDEX('Master Inventory'!$E:$E,MATCH($C931,'Master Inventory'!$A:$A,0)),0))</f>
        <v/>
      </c>
      <c r="G931">
        <f>IF($A931="","",'Blind Count Entry'!F929)</f>
        <v/>
      </c>
      <c r="H931">
        <f>IF($A931="","",G931-F931)</f>
        <v/>
      </c>
      <c r="I931" s="17">
        <f>IF($A931="","",IF(F931=0,IF(H931=0,0,1),ABS(H931)/F931))</f>
        <v/>
      </c>
      <c r="J931" s="18">
        <f>IF($A931="","",IF($E931="A",$E$1,IF($E931="B",$G$1,$I$1)))</f>
        <v/>
      </c>
      <c r="K931">
        <f>IF($A931="","",IF(H931=0,"MATCH",IF(I931&gt;J931,"RECOUNT","WITHIN TOLERANCE")))</f>
        <v/>
      </c>
      <c r="L931" s="5" t="n"/>
      <c r="M931">
        <f>IF(OR($A931="",$L931=""),"",L931-F931)</f>
        <v/>
      </c>
      <c r="N931" s="5" t="n"/>
      <c r="O931" s="5" t="n"/>
    </row>
    <row r="932">
      <c r="A932">
        <f>IF('Blind Count Entry'!A930="","",'Blind Count Entry'!A930)</f>
        <v/>
      </c>
      <c r="B932" s="16">
        <f>IF($A932="","",'Blind Count Entry'!B930)</f>
        <v/>
      </c>
      <c r="C932">
        <f>IF($A932="","",'Blind Count Entry'!C930)</f>
        <v/>
      </c>
      <c r="D932">
        <f>IF($A932="","",'Blind Count Entry'!D930)</f>
        <v/>
      </c>
      <c r="E932">
        <f>IF($A932="","",IFERROR(INDEX('ABC Analysis'!$F:$F,MATCH($C932,'ABC Analysis'!$A:$A,0)),""))</f>
        <v/>
      </c>
      <c r="F932">
        <f>IF($A932="","",IFERROR(INDEX('Master Inventory'!$E:$E,MATCH($C932,'Master Inventory'!$A:$A,0)),0))</f>
        <v/>
      </c>
      <c r="G932">
        <f>IF($A932="","",'Blind Count Entry'!F930)</f>
        <v/>
      </c>
      <c r="H932">
        <f>IF($A932="","",G932-F932)</f>
        <v/>
      </c>
      <c r="I932" s="17">
        <f>IF($A932="","",IF(F932=0,IF(H932=0,0,1),ABS(H932)/F932))</f>
        <v/>
      </c>
      <c r="J932" s="18">
        <f>IF($A932="","",IF($E932="A",$E$1,IF($E932="B",$G$1,$I$1)))</f>
        <v/>
      </c>
      <c r="K932">
        <f>IF($A932="","",IF(H932=0,"MATCH",IF(I932&gt;J932,"RECOUNT","WITHIN TOLERANCE")))</f>
        <v/>
      </c>
      <c r="L932" s="5" t="n"/>
      <c r="M932">
        <f>IF(OR($A932="",$L932=""),"",L932-F932)</f>
        <v/>
      </c>
      <c r="N932" s="5" t="n"/>
      <c r="O932" s="5" t="n"/>
    </row>
    <row r="933">
      <c r="A933">
        <f>IF('Blind Count Entry'!A931="","",'Blind Count Entry'!A931)</f>
        <v/>
      </c>
      <c r="B933" s="16">
        <f>IF($A933="","",'Blind Count Entry'!B931)</f>
        <v/>
      </c>
      <c r="C933">
        <f>IF($A933="","",'Blind Count Entry'!C931)</f>
        <v/>
      </c>
      <c r="D933">
        <f>IF($A933="","",'Blind Count Entry'!D931)</f>
        <v/>
      </c>
      <c r="E933">
        <f>IF($A933="","",IFERROR(INDEX('ABC Analysis'!$F:$F,MATCH($C933,'ABC Analysis'!$A:$A,0)),""))</f>
        <v/>
      </c>
      <c r="F933">
        <f>IF($A933="","",IFERROR(INDEX('Master Inventory'!$E:$E,MATCH($C933,'Master Inventory'!$A:$A,0)),0))</f>
        <v/>
      </c>
      <c r="G933">
        <f>IF($A933="","",'Blind Count Entry'!F931)</f>
        <v/>
      </c>
      <c r="H933">
        <f>IF($A933="","",G933-F933)</f>
        <v/>
      </c>
      <c r="I933" s="17">
        <f>IF($A933="","",IF(F933=0,IF(H933=0,0,1),ABS(H933)/F933))</f>
        <v/>
      </c>
      <c r="J933" s="18">
        <f>IF($A933="","",IF($E933="A",$E$1,IF($E933="B",$G$1,$I$1)))</f>
        <v/>
      </c>
      <c r="K933">
        <f>IF($A933="","",IF(H933=0,"MATCH",IF(I933&gt;J933,"RECOUNT","WITHIN TOLERANCE")))</f>
        <v/>
      </c>
      <c r="L933" s="5" t="n"/>
      <c r="M933">
        <f>IF(OR($A933="",$L933=""),"",L933-F933)</f>
        <v/>
      </c>
      <c r="N933" s="5" t="n"/>
      <c r="O933" s="5" t="n"/>
    </row>
    <row r="934">
      <c r="A934">
        <f>IF('Blind Count Entry'!A932="","",'Blind Count Entry'!A932)</f>
        <v/>
      </c>
      <c r="B934" s="16">
        <f>IF($A934="","",'Blind Count Entry'!B932)</f>
        <v/>
      </c>
      <c r="C934">
        <f>IF($A934="","",'Blind Count Entry'!C932)</f>
        <v/>
      </c>
      <c r="D934">
        <f>IF($A934="","",'Blind Count Entry'!D932)</f>
        <v/>
      </c>
      <c r="E934">
        <f>IF($A934="","",IFERROR(INDEX('ABC Analysis'!$F:$F,MATCH($C934,'ABC Analysis'!$A:$A,0)),""))</f>
        <v/>
      </c>
      <c r="F934">
        <f>IF($A934="","",IFERROR(INDEX('Master Inventory'!$E:$E,MATCH($C934,'Master Inventory'!$A:$A,0)),0))</f>
        <v/>
      </c>
      <c r="G934">
        <f>IF($A934="","",'Blind Count Entry'!F932)</f>
        <v/>
      </c>
      <c r="H934">
        <f>IF($A934="","",G934-F934)</f>
        <v/>
      </c>
      <c r="I934" s="17">
        <f>IF($A934="","",IF(F934=0,IF(H934=0,0,1),ABS(H934)/F934))</f>
        <v/>
      </c>
      <c r="J934" s="18">
        <f>IF($A934="","",IF($E934="A",$E$1,IF($E934="B",$G$1,$I$1)))</f>
        <v/>
      </c>
      <c r="K934">
        <f>IF($A934="","",IF(H934=0,"MATCH",IF(I934&gt;J934,"RECOUNT","WITHIN TOLERANCE")))</f>
        <v/>
      </c>
      <c r="L934" s="5" t="n"/>
      <c r="M934">
        <f>IF(OR($A934="",$L934=""),"",L934-F934)</f>
        <v/>
      </c>
      <c r="N934" s="5" t="n"/>
      <c r="O934" s="5" t="n"/>
    </row>
    <row r="935">
      <c r="A935">
        <f>IF('Blind Count Entry'!A933="","",'Blind Count Entry'!A933)</f>
        <v/>
      </c>
      <c r="B935" s="16">
        <f>IF($A935="","",'Blind Count Entry'!B933)</f>
        <v/>
      </c>
      <c r="C935">
        <f>IF($A935="","",'Blind Count Entry'!C933)</f>
        <v/>
      </c>
      <c r="D935">
        <f>IF($A935="","",'Blind Count Entry'!D933)</f>
        <v/>
      </c>
      <c r="E935">
        <f>IF($A935="","",IFERROR(INDEX('ABC Analysis'!$F:$F,MATCH($C935,'ABC Analysis'!$A:$A,0)),""))</f>
        <v/>
      </c>
      <c r="F935">
        <f>IF($A935="","",IFERROR(INDEX('Master Inventory'!$E:$E,MATCH($C935,'Master Inventory'!$A:$A,0)),0))</f>
        <v/>
      </c>
      <c r="G935">
        <f>IF($A935="","",'Blind Count Entry'!F933)</f>
        <v/>
      </c>
      <c r="H935">
        <f>IF($A935="","",G935-F935)</f>
        <v/>
      </c>
      <c r="I935" s="17">
        <f>IF($A935="","",IF(F935=0,IF(H935=0,0,1),ABS(H935)/F935))</f>
        <v/>
      </c>
      <c r="J935" s="18">
        <f>IF($A935="","",IF($E935="A",$E$1,IF($E935="B",$G$1,$I$1)))</f>
        <v/>
      </c>
      <c r="K935">
        <f>IF($A935="","",IF(H935=0,"MATCH",IF(I935&gt;J935,"RECOUNT","WITHIN TOLERANCE")))</f>
        <v/>
      </c>
      <c r="L935" s="5" t="n"/>
      <c r="M935">
        <f>IF(OR($A935="",$L935=""),"",L935-F935)</f>
        <v/>
      </c>
      <c r="N935" s="5" t="n"/>
      <c r="O935" s="5" t="n"/>
    </row>
    <row r="936">
      <c r="A936">
        <f>IF('Blind Count Entry'!A934="","",'Blind Count Entry'!A934)</f>
        <v/>
      </c>
      <c r="B936" s="16">
        <f>IF($A936="","",'Blind Count Entry'!B934)</f>
        <v/>
      </c>
      <c r="C936">
        <f>IF($A936="","",'Blind Count Entry'!C934)</f>
        <v/>
      </c>
      <c r="D936">
        <f>IF($A936="","",'Blind Count Entry'!D934)</f>
        <v/>
      </c>
      <c r="E936">
        <f>IF($A936="","",IFERROR(INDEX('ABC Analysis'!$F:$F,MATCH($C936,'ABC Analysis'!$A:$A,0)),""))</f>
        <v/>
      </c>
      <c r="F936">
        <f>IF($A936="","",IFERROR(INDEX('Master Inventory'!$E:$E,MATCH($C936,'Master Inventory'!$A:$A,0)),0))</f>
        <v/>
      </c>
      <c r="G936">
        <f>IF($A936="","",'Blind Count Entry'!F934)</f>
        <v/>
      </c>
      <c r="H936">
        <f>IF($A936="","",G936-F936)</f>
        <v/>
      </c>
      <c r="I936" s="17">
        <f>IF($A936="","",IF(F936=0,IF(H936=0,0,1),ABS(H936)/F936))</f>
        <v/>
      </c>
      <c r="J936" s="18">
        <f>IF($A936="","",IF($E936="A",$E$1,IF($E936="B",$G$1,$I$1)))</f>
        <v/>
      </c>
      <c r="K936">
        <f>IF($A936="","",IF(H936=0,"MATCH",IF(I936&gt;J936,"RECOUNT","WITHIN TOLERANCE")))</f>
        <v/>
      </c>
      <c r="L936" s="5" t="n"/>
      <c r="M936">
        <f>IF(OR($A936="",$L936=""),"",L936-F936)</f>
        <v/>
      </c>
      <c r="N936" s="5" t="n"/>
      <c r="O936" s="5" t="n"/>
    </row>
    <row r="937">
      <c r="A937">
        <f>IF('Blind Count Entry'!A935="","",'Blind Count Entry'!A935)</f>
        <v/>
      </c>
      <c r="B937" s="16">
        <f>IF($A937="","",'Blind Count Entry'!B935)</f>
        <v/>
      </c>
      <c r="C937">
        <f>IF($A937="","",'Blind Count Entry'!C935)</f>
        <v/>
      </c>
      <c r="D937">
        <f>IF($A937="","",'Blind Count Entry'!D935)</f>
        <v/>
      </c>
      <c r="E937">
        <f>IF($A937="","",IFERROR(INDEX('ABC Analysis'!$F:$F,MATCH($C937,'ABC Analysis'!$A:$A,0)),""))</f>
        <v/>
      </c>
      <c r="F937">
        <f>IF($A937="","",IFERROR(INDEX('Master Inventory'!$E:$E,MATCH($C937,'Master Inventory'!$A:$A,0)),0))</f>
        <v/>
      </c>
      <c r="G937">
        <f>IF($A937="","",'Blind Count Entry'!F935)</f>
        <v/>
      </c>
      <c r="H937">
        <f>IF($A937="","",G937-F937)</f>
        <v/>
      </c>
      <c r="I937" s="17">
        <f>IF($A937="","",IF(F937=0,IF(H937=0,0,1),ABS(H937)/F937))</f>
        <v/>
      </c>
      <c r="J937" s="18">
        <f>IF($A937="","",IF($E937="A",$E$1,IF($E937="B",$G$1,$I$1)))</f>
        <v/>
      </c>
      <c r="K937">
        <f>IF($A937="","",IF(H937=0,"MATCH",IF(I937&gt;J937,"RECOUNT","WITHIN TOLERANCE")))</f>
        <v/>
      </c>
      <c r="L937" s="5" t="n"/>
      <c r="M937">
        <f>IF(OR($A937="",$L937=""),"",L937-F937)</f>
        <v/>
      </c>
      <c r="N937" s="5" t="n"/>
      <c r="O937" s="5" t="n"/>
    </row>
    <row r="938">
      <c r="A938">
        <f>IF('Blind Count Entry'!A936="","",'Blind Count Entry'!A936)</f>
        <v/>
      </c>
      <c r="B938" s="16">
        <f>IF($A938="","",'Blind Count Entry'!B936)</f>
        <v/>
      </c>
      <c r="C938">
        <f>IF($A938="","",'Blind Count Entry'!C936)</f>
        <v/>
      </c>
      <c r="D938">
        <f>IF($A938="","",'Blind Count Entry'!D936)</f>
        <v/>
      </c>
      <c r="E938">
        <f>IF($A938="","",IFERROR(INDEX('ABC Analysis'!$F:$F,MATCH($C938,'ABC Analysis'!$A:$A,0)),""))</f>
        <v/>
      </c>
      <c r="F938">
        <f>IF($A938="","",IFERROR(INDEX('Master Inventory'!$E:$E,MATCH($C938,'Master Inventory'!$A:$A,0)),0))</f>
        <v/>
      </c>
      <c r="G938">
        <f>IF($A938="","",'Blind Count Entry'!F936)</f>
        <v/>
      </c>
      <c r="H938">
        <f>IF($A938="","",G938-F938)</f>
        <v/>
      </c>
      <c r="I938" s="17">
        <f>IF($A938="","",IF(F938=0,IF(H938=0,0,1),ABS(H938)/F938))</f>
        <v/>
      </c>
      <c r="J938" s="18">
        <f>IF($A938="","",IF($E938="A",$E$1,IF($E938="B",$G$1,$I$1)))</f>
        <v/>
      </c>
      <c r="K938">
        <f>IF($A938="","",IF(H938=0,"MATCH",IF(I938&gt;J938,"RECOUNT","WITHIN TOLERANCE")))</f>
        <v/>
      </c>
      <c r="L938" s="5" t="n"/>
      <c r="M938">
        <f>IF(OR($A938="",$L938=""),"",L938-F938)</f>
        <v/>
      </c>
      <c r="N938" s="5" t="n"/>
      <c r="O938" s="5" t="n"/>
    </row>
    <row r="939">
      <c r="A939">
        <f>IF('Blind Count Entry'!A937="","",'Blind Count Entry'!A937)</f>
        <v/>
      </c>
      <c r="B939" s="16">
        <f>IF($A939="","",'Blind Count Entry'!B937)</f>
        <v/>
      </c>
      <c r="C939">
        <f>IF($A939="","",'Blind Count Entry'!C937)</f>
        <v/>
      </c>
      <c r="D939">
        <f>IF($A939="","",'Blind Count Entry'!D937)</f>
        <v/>
      </c>
      <c r="E939">
        <f>IF($A939="","",IFERROR(INDEX('ABC Analysis'!$F:$F,MATCH($C939,'ABC Analysis'!$A:$A,0)),""))</f>
        <v/>
      </c>
      <c r="F939">
        <f>IF($A939="","",IFERROR(INDEX('Master Inventory'!$E:$E,MATCH($C939,'Master Inventory'!$A:$A,0)),0))</f>
        <v/>
      </c>
      <c r="G939">
        <f>IF($A939="","",'Blind Count Entry'!F937)</f>
        <v/>
      </c>
      <c r="H939">
        <f>IF($A939="","",G939-F939)</f>
        <v/>
      </c>
      <c r="I939" s="17">
        <f>IF($A939="","",IF(F939=0,IF(H939=0,0,1),ABS(H939)/F939))</f>
        <v/>
      </c>
      <c r="J939" s="18">
        <f>IF($A939="","",IF($E939="A",$E$1,IF($E939="B",$G$1,$I$1)))</f>
        <v/>
      </c>
      <c r="K939">
        <f>IF($A939="","",IF(H939=0,"MATCH",IF(I939&gt;J939,"RECOUNT","WITHIN TOLERANCE")))</f>
        <v/>
      </c>
      <c r="L939" s="5" t="n"/>
      <c r="M939">
        <f>IF(OR($A939="",$L939=""),"",L939-F939)</f>
        <v/>
      </c>
      <c r="N939" s="5" t="n"/>
      <c r="O939" s="5" t="n"/>
    </row>
    <row r="940">
      <c r="A940">
        <f>IF('Blind Count Entry'!A938="","",'Blind Count Entry'!A938)</f>
        <v/>
      </c>
      <c r="B940" s="16">
        <f>IF($A940="","",'Blind Count Entry'!B938)</f>
        <v/>
      </c>
      <c r="C940">
        <f>IF($A940="","",'Blind Count Entry'!C938)</f>
        <v/>
      </c>
      <c r="D940">
        <f>IF($A940="","",'Blind Count Entry'!D938)</f>
        <v/>
      </c>
      <c r="E940">
        <f>IF($A940="","",IFERROR(INDEX('ABC Analysis'!$F:$F,MATCH($C940,'ABC Analysis'!$A:$A,0)),""))</f>
        <v/>
      </c>
      <c r="F940">
        <f>IF($A940="","",IFERROR(INDEX('Master Inventory'!$E:$E,MATCH($C940,'Master Inventory'!$A:$A,0)),0))</f>
        <v/>
      </c>
      <c r="G940">
        <f>IF($A940="","",'Blind Count Entry'!F938)</f>
        <v/>
      </c>
      <c r="H940">
        <f>IF($A940="","",G940-F940)</f>
        <v/>
      </c>
      <c r="I940" s="17">
        <f>IF($A940="","",IF(F940=0,IF(H940=0,0,1),ABS(H940)/F940))</f>
        <v/>
      </c>
      <c r="J940" s="18">
        <f>IF($A940="","",IF($E940="A",$E$1,IF($E940="B",$G$1,$I$1)))</f>
        <v/>
      </c>
      <c r="K940">
        <f>IF($A940="","",IF(H940=0,"MATCH",IF(I940&gt;J940,"RECOUNT","WITHIN TOLERANCE")))</f>
        <v/>
      </c>
      <c r="L940" s="5" t="n"/>
      <c r="M940">
        <f>IF(OR($A940="",$L940=""),"",L940-F940)</f>
        <v/>
      </c>
      <c r="N940" s="5" t="n"/>
      <c r="O940" s="5" t="n"/>
    </row>
    <row r="941">
      <c r="A941">
        <f>IF('Blind Count Entry'!A939="","",'Blind Count Entry'!A939)</f>
        <v/>
      </c>
      <c r="B941" s="16">
        <f>IF($A941="","",'Blind Count Entry'!B939)</f>
        <v/>
      </c>
      <c r="C941">
        <f>IF($A941="","",'Blind Count Entry'!C939)</f>
        <v/>
      </c>
      <c r="D941">
        <f>IF($A941="","",'Blind Count Entry'!D939)</f>
        <v/>
      </c>
      <c r="E941">
        <f>IF($A941="","",IFERROR(INDEX('ABC Analysis'!$F:$F,MATCH($C941,'ABC Analysis'!$A:$A,0)),""))</f>
        <v/>
      </c>
      <c r="F941">
        <f>IF($A941="","",IFERROR(INDEX('Master Inventory'!$E:$E,MATCH($C941,'Master Inventory'!$A:$A,0)),0))</f>
        <v/>
      </c>
      <c r="G941">
        <f>IF($A941="","",'Blind Count Entry'!F939)</f>
        <v/>
      </c>
      <c r="H941">
        <f>IF($A941="","",G941-F941)</f>
        <v/>
      </c>
      <c r="I941" s="17">
        <f>IF($A941="","",IF(F941=0,IF(H941=0,0,1),ABS(H941)/F941))</f>
        <v/>
      </c>
      <c r="J941" s="18">
        <f>IF($A941="","",IF($E941="A",$E$1,IF($E941="B",$G$1,$I$1)))</f>
        <v/>
      </c>
      <c r="K941">
        <f>IF($A941="","",IF(H941=0,"MATCH",IF(I941&gt;J941,"RECOUNT","WITHIN TOLERANCE")))</f>
        <v/>
      </c>
      <c r="L941" s="5" t="n"/>
      <c r="M941">
        <f>IF(OR($A941="",$L941=""),"",L941-F941)</f>
        <v/>
      </c>
      <c r="N941" s="5" t="n"/>
      <c r="O941" s="5" t="n"/>
    </row>
    <row r="942">
      <c r="A942">
        <f>IF('Blind Count Entry'!A940="","",'Blind Count Entry'!A940)</f>
        <v/>
      </c>
      <c r="B942" s="16">
        <f>IF($A942="","",'Blind Count Entry'!B940)</f>
        <v/>
      </c>
      <c r="C942">
        <f>IF($A942="","",'Blind Count Entry'!C940)</f>
        <v/>
      </c>
      <c r="D942">
        <f>IF($A942="","",'Blind Count Entry'!D940)</f>
        <v/>
      </c>
      <c r="E942">
        <f>IF($A942="","",IFERROR(INDEX('ABC Analysis'!$F:$F,MATCH($C942,'ABC Analysis'!$A:$A,0)),""))</f>
        <v/>
      </c>
      <c r="F942">
        <f>IF($A942="","",IFERROR(INDEX('Master Inventory'!$E:$E,MATCH($C942,'Master Inventory'!$A:$A,0)),0))</f>
        <v/>
      </c>
      <c r="G942">
        <f>IF($A942="","",'Blind Count Entry'!F940)</f>
        <v/>
      </c>
      <c r="H942">
        <f>IF($A942="","",G942-F942)</f>
        <v/>
      </c>
      <c r="I942" s="17">
        <f>IF($A942="","",IF(F942=0,IF(H942=0,0,1),ABS(H942)/F942))</f>
        <v/>
      </c>
      <c r="J942" s="18">
        <f>IF($A942="","",IF($E942="A",$E$1,IF($E942="B",$G$1,$I$1)))</f>
        <v/>
      </c>
      <c r="K942">
        <f>IF($A942="","",IF(H942=0,"MATCH",IF(I942&gt;J942,"RECOUNT","WITHIN TOLERANCE")))</f>
        <v/>
      </c>
      <c r="L942" s="5" t="n"/>
      <c r="M942">
        <f>IF(OR($A942="",$L942=""),"",L942-F942)</f>
        <v/>
      </c>
      <c r="N942" s="5" t="n"/>
      <c r="O942" s="5" t="n"/>
    </row>
    <row r="943">
      <c r="A943">
        <f>IF('Blind Count Entry'!A941="","",'Blind Count Entry'!A941)</f>
        <v/>
      </c>
      <c r="B943" s="16">
        <f>IF($A943="","",'Blind Count Entry'!B941)</f>
        <v/>
      </c>
      <c r="C943">
        <f>IF($A943="","",'Blind Count Entry'!C941)</f>
        <v/>
      </c>
      <c r="D943">
        <f>IF($A943="","",'Blind Count Entry'!D941)</f>
        <v/>
      </c>
      <c r="E943">
        <f>IF($A943="","",IFERROR(INDEX('ABC Analysis'!$F:$F,MATCH($C943,'ABC Analysis'!$A:$A,0)),""))</f>
        <v/>
      </c>
      <c r="F943">
        <f>IF($A943="","",IFERROR(INDEX('Master Inventory'!$E:$E,MATCH($C943,'Master Inventory'!$A:$A,0)),0))</f>
        <v/>
      </c>
      <c r="G943">
        <f>IF($A943="","",'Blind Count Entry'!F941)</f>
        <v/>
      </c>
      <c r="H943">
        <f>IF($A943="","",G943-F943)</f>
        <v/>
      </c>
      <c r="I943" s="17">
        <f>IF($A943="","",IF(F943=0,IF(H943=0,0,1),ABS(H943)/F943))</f>
        <v/>
      </c>
      <c r="J943" s="18">
        <f>IF($A943="","",IF($E943="A",$E$1,IF($E943="B",$G$1,$I$1)))</f>
        <v/>
      </c>
      <c r="K943">
        <f>IF($A943="","",IF(H943=0,"MATCH",IF(I943&gt;J943,"RECOUNT","WITHIN TOLERANCE")))</f>
        <v/>
      </c>
      <c r="L943" s="5" t="n"/>
      <c r="M943">
        <f>IF(OR($A943="",$L943=""),"",L943-F943)</f>
        <v/>
      </c>
      <c r="N943" s="5" t="n"/>
      <c r="O943" s="5" t="n"/>
    </row>
    <row r="944">
      <c r="A944">
        <f>IF('Blind Count Entry'!A942="","",'Blind Count Entry'!A942)</f>
        <v/>
      </c>
      <c r="B944" s="16">
        <f>IF($A944="","",'Blind Count Entry'!B942)</f>
        <v/>
      </c>
      <c r="C944">
        <f>IF($A944="","",'Blind Count Entry'!C942)</f>
        <v/>
      </c>
      <c r="D944">
        <f>IF($A944="","",'Blind Count Entry'!D942)</f>
        <v/>
      </c>
      <c r="E944">
        <f>IF($A944="","",IFERROR(INDEX('ABC Analysis'!$F:$F,MATCH($C944,'ABC Analysis'!$A:$A,0)),""))</f>
        <v/>
      </c>
      <c r="F944">
        <f>IF($A944="","",IFERROR(INDEX('Master Inventory'!$E:$E,MATCH($C944,'Master Inventory'!$A:$A,0)),0))</f>
        <v/>
      </c>
      <c r="G944">
        <f>IF($A944="","",'Blind Count Entry'!F942)</f>
        <v/>
      </c>
      <c r="H944">
        <f>IF($A944="","",G944-F944)</f>
        <v/>
      </c>
      <c r="I944" s="17">
        <f>IF($A944="","",IF(F944=0,IF(H944=0,0,1),ABS(H944)/F944))</f>
        <v/>
      </c>
      <c r="J944" s="18">
        <f>IF($A944="","",IF($E944="A",$E$1,IF($E944="B",$G$1,$I$1)))</f>
        <v/>
      </c>
      <c r="K944">
        <f>IF($A944="","",IF(H944=0,"MATCH",IF(I944&gt;J944,"RECOUNT","WITHIN TOLERANCE")))</f>
        <v/>
      </c>
      <c r="L944" s="5" t="n"/>
      <c r="M944">
        <f>IF(OR($A944="",$L944=""),"",L944-F944)</f>
        <v/>
      </c>
      <c r="N944" s="5" t="n"/>
      <c r="O944" s="5" t="n"/>
    </row>
    <row r="945">
      <c r="A945">
        <f>IF('Blind Count Entry'!A943="","",'Blind Count Entry'!A943)</f>
        <v/>
      </c>
      <c r="B945" s="16">
        <f>IF($A945="","",'Blind Count Entry'!B943)</f>
        <v/>
      </c>
      <c r="C945">
        <f>IF($A945="","",'Blind Count Entry'!C943)</f>
        <v/>
      </c>
      <c r="D945">
        <f>IF($A945="","",'Blind Count Entry'!D943)</f>
        <v/>
      </c>
      <c r="E945">
        <f>IF($A945="","",IFERROR(INDEX('ABC Analysis'!$F:$F,MATCH($C945,'ABC Analysis'!$A:$A,0)),""))</f>
        <v/>
      </c>
      <c r="F945">
        <f>IF($A945="","",IFERROR(INDEX('Master Inventory'!$E:$E,MATCH($C945,'Master Inventory'!$A:$A,0)),0))</f>
        <v/>
      </c>
      <c r="G945">
        <f>IF($A945="","",'Blind Count Entry'!F943)</f>
        <v/>
      </c>
      <c r="H945">
        <f>IF($A945="","",G945-F945)</f>
        <v/>
      </c>
      <c r="I945" s="17">
        <f>IF($A945="","",IF(F945=0,IF(H945=0,0,1),ABS(H945)/F945))</f>
        <v/>
      </c>
      <c r="J945" s="18">
        <f>IF($A945="","",IF($E945="A",$E$1,IF($E945="B",$G$1,$I$1)))</f>
        <v/>
      </c>
      <c r="K945">
        <f>IF($A945="","",IF(H945=0,"MATCH",IF(I945&gt;J945,"RECOUNT","WITHIN TOLERANCE")))</f>
        <v/>
      </c>
      <c r="L945" s="5" t="n"/>
      <c r="M945">
        <f>IF(OR($A945="",$L945=""),"",L945-F945)</f>
        <v/>
      </c>
      <c r="N945" s="5" t="n"/>
      <c r="O945" s="5" t="n"/>
    </row>
    <row r="946">
      <c r="A946">
        <f>IF('Blind Count Entry'!A944="","",'Blind Count Entry'!A944)</f>
        <v/>
      </c>
      <c r="B946" s="16">
        <f>IF($A946="","",'Blind Count Entry'!B944)</f>
        <v/>
      </c>
      <c r="C946">
        <f>IF($A946="","",'Blind Count Entry'!C944)</f>
        <v/>
      </c>
      <c r="D946">
        <f>IF($A946="","",'Blind Count Entry'!D944)</f>
        <v/>
      </c>
      <c r="E946">
        <f>IF($A946="","",IFERROR(INDEX('ABC Analysis'!$F:$F,MATCH($C946,'ABC Analysis'!$A:$A,0)),""))</f>
        <v/>
      </c>
      <c r="F946">
        <f>IF($A946="","",IFERROR(INDEX('Master Inventory'!$E:$E,MATCH($C946,'Master Inventory'!$A:$A,0)),0))</f>
        <v/>
      </c>
      <c r="G946">
        <f>IF($A946="","",'Blind Count Entry'!F944)</f>
        <v/>
      </c>
      <c r="H946">
        <f>IF($A946="","",G946-F946)</f>
        <v/>
      </c>
      <c r="I946" s="17">
        <f>IF($A946="","",IF(F946=0,IF(H946=0,0,1),ABS(H946)/F946))</f>
        <v/>
      </c>
      <c r="J946" s="18">
        <f>IF($A946="","",IF($E946="A",$E$1,IF($E946="B",$G$1,$I$1)))</f>
        <v/>
      </c>
      <c r="K946">
        <f>IF($A946="","",IF(H946=0,"MATCH",IF(I946&gt;J946,"RECOUNT","WITHIN TOLERANCE")))</f>
        <v/>
      </c>
      <c r="L946" s="5" t="n"/>
      <c r="M946">
        <f>IF(OR($A946="",$L946=""),"",L946-F946)</f>
        <v/>
      </c>
      <c r="N946" s="5" t="n"/>
      <c r="O946" s="5" t="n"/>
    </row>
    <row r="947">
      <c r="A947">
        <f>IF('Blind Count Entry'!A945="","",'Blind Count Entry'!A945)</f>
        <v/>
      </c>
      <c r="B947" s="16">
        <f>IF($A947="","",'Blind Count Entry'!B945)</f>
        <v/>
      </c>
      <c r="C947">
        <f>IF($A947="","",'Blind Count Entry'!C945)</f>
        <v/>
      </c>
      <c r="D947">
        <f>IF($A947="","",'Blind Count Entry'!D945)</f>
        <v/>
      </c>
      <c r="E947">
        <f>IF($A947="","",IFERROR(INDEX('ABC Analysis'!$F:$F,MATCH($C947,'ABC Analysis'!$A:$A,0)),""))</f>
        <v/>
      </c>
      <c r="F947">
        <f>IF($A947="","",IFERROR(INDEX('Master Inventory'!$E:$E,MATCH($C947,'Master Inventory'!$A:$A,0)),0))</f>
        <v/>
      </c>
      <c r="G947">
        <f>IF($A947="","",'Blind Count Entry'!F945)</f>
        <v/>
      </c>
      <c r="H947">
        <f>IF($A947="","",G947-F947)</f>
        <v/>
      </c>
      <c r="I947" s="17">
        <f>IF($A947="","",IF(F947=0,IF(H947=0,0,1),ABS(H947)/F947))</f>
        <v/>
      </c>
      <c r="J947" s="18">
        <f>IF($A947="","",IF($E947="A",$E$1,IF($E947="B",$G$1,$I$1)))</f>
        <v/>
      </c>
      <c r="K947">
        <f>IF($A947="","",IF(H947=0,"MATCH",IF(I947&gt;J947,"RECOUNT","WITHIN TOLERANCE")))</f>
        <v/>
      </c>
      <c r="L947" s="5" t="n"/>
      <c r="M947">
        <f>IF(OR($A947="",$L947=""),"",L947-F947)</f>
        <v/>
      </c>
      <c r="N947" s="5" t="n"/>
      <c r="O947" s="5" t="n"/>
    </row>
    <row r="948">
      <c r="A948">
        <f>IF('Blind Count Entry'!A946="","",'Blind Count Entry'!A946)</f>
        <v/>
      </c>
      <c r="B948" s="16">
        <f>IF($A948="","",'Blind Count Entry'!B946)</f>
        <v/>
      </c>
      <c r="C948">
        <f>IF($A948="","",'Blind Count Entry'!C946)</f>
        <v/>
      </c>
      <c r="D948">
        <f>IF($A948="","",'Blind Count Entry'!D946)</f>
        <v/>
      </c>
      <c r="E948">
        <f>IF($A948="","",IFERROR(INDEX('ABC Analysis'!$F:$F,MATCH($C948,'ABC Analysis'!$A:$A,0)),""))</f>
        <v/>
      </c>
      <c r="F948">
        <f>IF($A948="","",IFERROR(INDEX('Master Inventory'!$E:$E,MATCH($C948,'Master Inventory'!$A:$A,0)),0))</f>
        <v/>
      </c>
      <c r="G948">
        <f>IF($A948="","",'Blind Count Entry'!F946)</f>
        <v/>
      </c>
      <c r="H948">
        <f>IF($A948="","",G948-F948)</f>
        <v/>
      </c>
      <c r="I948" s="17">
        <f>IF($A948="","",IF(F948=0,IF(H948=0,0,1),ABS(H948)/F948))</f>
        <v/>
      </c>
      <c r="J948" s="18">
        <f>IF($A948="","",IF($E948="A",$E$1,IF($E948="B",$G$1,$I$1)))</f>
        <v/>
      </c>
      <c r="K948">
        <f>IF($A948="","",IF(H948=0,"MATCH",IF(I948&gt;J948,"RECOUNT","WITHIN TOLERANCE")))</f>
        <v/>
      </c>
      <c r="L948" s="5" t="n"/>
      <c r="M948">
        <f>IF(OR($A948="",$L948=""),"",L948-F948)</f>
        <v/>
      </c>
      <c r="N948" s="5" t="n"/>
      <c r="O948" s="5" t="n"/>
    </row>
    <row r="949">
      <c r="A949">
        <f>IF('Blind Count Entry'!A947="","",'Blind Count Entry'!A947)</f>
        <v/>
      </c>
      <c r="B949" s="16">
        <f>IF($A949="","",'Blind Count Entry'!B947)</f>
        <v/>
      </c>
      <c r="C949">
        <f>IF($A949="","",'Blind Count Entry'!C947)</f>
        <v/>
      </c>
      <c r="D949">
        <f>IF($A949="","",'Blind Count Entry'!D947)</f>
        <v/>
      </c>
      <c r="E949">
        <f>IF($A949="","",IFERROR(INDEX('ABC Analysis'!$F:$F,MATCH($C949,'ABC Analysis'!$A:$A,0)),""))</f>
        <v/>
      </c>
      <c r="F949">
        <f>IF($A949="","",IFERROR(INDEX('Master Inventory'!$E:$E,MATCH($C949,'Master Inventory'!$A:$A,0)),0))</f>
        <v/>
      </c>
      <c r="G949">
        <f>IF($A949="","",'Blind Count Entry'!F947)</f>
        <v/>
      </c>
      <c r="H949">
        <f>IF($A949="","",G949-F949)</f>
        <v/>
      </c>
      <c r="I949" s="17">
        <f>IF($A949="","",IF(F949=0,IF(H949=0,0,1),ABS(H949)/F949))</f>
        <v/>
      </c>
      <c r="J949" s="18">
        <f>IF($A949="","",IF($E949="A",$E$1,IF($E949="B",$G$1,$I$1)))</f>
        <v/>
      </c>
      <c r="K949">
        <f>IF($A949="","",IF(H949=0,"MATCH",IF(I949&gt;J949,"RECOUNT","WITHIN TOLERANCE")))</f>
        <v/>
      </c>
      <c r="L949" s="5" t="n"/>
      <c r="M949">
        <f>IF(OR($A949="",$L949=""),"",L949-F949)</f>
        <v/>
      </c>
      <c r="N949" s="5" t="n"/>
      <c r="O949" s="5" t="n"/>
    </row>
    <row r="950">
      <c r="A950">
        <f>IF('Blind Count Entry'!A948="","",'Blind Count Entry'!A948)</f>
        <v/>
      </c>
      <c r="B950" s="16">
        <f>IF($A950="","",'Blind Count Entry'!B948)</f>
        <v/>
      </c>
      <c r="C950">
        <f>IF($A950="","",'Blind Count Entry'!C948)</f>
        <v/>
      </c>
      <c r="D950">
        <f>IF($A950="","",'Blind Count Entry'!D948)</f>
        <v/>
      </c>
      <c r="E950">
        <f>IF($A950="","",IFERROR(INDEX('ABC Analysis'!$F:$F,MATCH($C950,'ABC Analysis'!$A:$A,0)),""))</f>
        <v/>
      </c>
      <c r="F950">
        <f>IF($A950="","",IFERROR(INDEX('Master Inventory'!$E:$E,MATCH($C950,'Master Inventory'!$A:$A,0)),0))</f>
        <v/>
      </c>
      <c r="G950">
        <f>IF($A950="","",'Blind Count Entry'!F948)</f>
        <v/>
      </c>
      <c r="H950">
        <f>IF($A950="","",G950-F950)</f>
        <v/>
      </c>
      <c r="I950" s="17">
        <f>IF($A950="","",IF(F950=0,IF(H950=0,0,1),ABS(H950)/F950))</f>
        <v/>
      </c>
      <c r="J950" s="18">
        <f>IF($A950="","",IF($E950="A",$E$1,IF($E950="B",$G$1,$I$1)))</f>
        <v/>
      </c>
      <c r="K950">
        <f>IF($A950="","",IF(H950=0,"MATCH",IF(I950&gt;J950,"RECOUNT","WITHIN TOLERANCE")))</f>
        <v/>
      </c>
      <c r="L950" s="5" t="n"/>
      <c r="M950">
        <f>IF(OR($A950="",$L950=""),"",L950-F950)</f>
        <v/>
      </c>
      <c r="N950" s="5" t="n"/>
      <c r="O950" s="5" t="n"/>
    </row>
    <row r="951">
      <c r="A951">
        <f>IF('Blind Count Entry'!A949="","",'Blind Count Entry'!A949)</f>
        <v/>
      </c>
      <c r="B951" s="16">
        <f>IF($A951="","",'Blind Count Entry'!B949)</f>
        <v/>
      </c>
      <c r="C951">
        <f>IF($A951="","",'Blind Count Entry'!C949)</f>
        <v/>
      </c>
      <c r="D951">
        <f>IF($A951="","",'Blind Count Entry'!D949)</f>
        <v/>
      </c>
      <c r="E951">
        <f>IF($A951="","",IFERROR(INDEX('ABC Analysis'!$F:$F,MATCH($C951,'ABC Analysis'!$A:$A,0)),""))</f>
        <v/>
      </c>
      <c r="F951">
        <f>IF($A951="","",IFERROR(INDEX('Master Inventory'!$E:$E,MATCH($C951,'Master Inventory'!$A:$A,0)),0))</f>
        <v/>
      </c>
      <c r="G951">
        <f>IF($A951="","",'Blind Count Entry'!F949)</f>
        <v/>
      </c>
      <c r="H951">
        <f>IF($A951="","",G951-F951)</f>
        <v/>
      </c>
      <c r="I951" s="17">
        <f>IF($A951="","",IF(F951=0,IF(H951=0,0,1),ABS(H951)/F951))</f>
        <v/>
      </c>
      <c r="J951" s="18">
        <f>IF($A951="","",IF($E951="A",$E$1,IF($E951="B",$G$1,$I$1)))</f>
        <v/>
      </c>
      <c r="K951">
        <f>IF($A951="","",IF(H951=0,"MATCH",IF(I951&gt;J951,"RECOUNT","WITHIN TOLERANCE")))</f>
        <v/>
      </c>
      <c r="L951" s="5" t="n"/>
      <c r="M951">
        <f>IF(OR($A951="",$L951=""),"",L951-F951)</f>
        <v/>
      </c>
      <c r="N951" s="5" t="n"/>
      <c r="O951" s="5" t="n"/>
    </row>
    <row r="952">
      <c r="A952">
        <f>IF('Blind Count Entry'!A950="","",'Blind Count Entry'!A950)</f>
        <v/>
      </c>
      <c r="B952" s="16">
        <f>IF($A952="","",'Blind Count Entry'!B950)</f>
        <v/>
      </c>
      <c r="C952">
        <f>IF($A952="","",'Blind Count Entry'!C950)</f>
        <v/>
      </c>
      <c r="D952">
        <f>IF($A952="","",'Blind Count Entry'!D950)</f>
        <v/>
      </c>
      <c r="E952">
        <f>IF($A952="","",IFERROR(INDEX('ABC Analysis'!$F:$F,MATCH($C952,'ABC Analysis'!$A:$A,0)),""))</f>
        <v/>
      </c>
      <c r="F952">
        <f>IF($A952="","",IFERROR(INDEX('Master Inventory'!$E:$E,MATCH($C952,'Master Inventory'!$A:$A,0)),0))</f>
        <v/>
      </c>
      <c r="G952">
        <f>IF($A952="","",'Blind Count Entry'!F950)</f>
        <v/>
      </c>
      <c r="H952">
        <f>IF($A952="","",G952-F952)</f>
        <v/>
      </c>
      <c r="I952" s="17">
        <f>IF($A952="","",IF(F952=0,IF(H952=0,0,1),ABS(H952)/F952))</f>
        <v/>
      </c>
      <c r="J952" s="18">
        <f>IF($A952="","",IF($E952="A",$E$1,IF($E952="B",$G$1,$I$1)))</f>
        <v/>
      </c>
      <c r="K952">
        <f>IF($A952="","",IF(H952=0,"MATCH",IF(I952&gt;J952,"RECOUNT","WITHIN TOLERANCE")))</f>
        <v/>
      </c>
      <c r="L952" s="5" t="n"/>
      <c r="M952">
        <f>IF(OR($A952="",$L952=""),"",L952-F952)</f>
        <v/>
      </c>
      <c r="N952" s="5" t="n"/>
      <c r="O952" s="5" t="n"/>
    </row>
    <row r="953">
      <c r="A953">
        <f>IF('Blind Count Entry'!A951="","",'Blind Count Entry'!A951)</f>
        <v/>
      </c>
      <c r="B953" s="16">
        <f>IF($A953="","",'Blind Count Entry'!B951)</f>
        <v/>
      </c>
      <c r="C953">
        <f>IF($A953="","",'Blind Count Entry'!C951)</f>
        <v/>
      </c>
      <c r="D953">
        <f>IF($A953="","",'Blind Count Entry'!D951)</f>
        <v/>
      </c>
      <c r="E953">
        <f>IF($A953="","",IFERROR(INDEX('ABC Analysis'!$F:$F,MATCH($C953,'ABC Analysis'!$A:$A,0)),""))</f>
        <v/>
      </c>
      <c r="F953">
        <f>IF($A953="","",IFERROR(INDEX('Master Inventory'!$E:$E,MATCH($C953,'Master Inventory'!$A:$A,0)),0))</f>
        <v/>
      </c>
      <c r="G953">
        <f>IF($A953="","",'Blind Count Entry'!F951)</f>
        <v/>
      </c>
      <c r="H953">
        <f>IF($A953="","",G953-F953)</f>
        <v/>
      </c>
      <c r="I953" s="17">
        <f>IF($A953="","",IF(F953=0,IF(H953=0,0,1),ABS(H953)/F953))</f>
        <v/>
      </c>
      <c r="J953" s="18">
        <f>IF($A953="","",IF($E953="A",$E$1,IF($E953="B",$G$1,$I$1)))</f>
        <v/>
      </c>
      <c r="K953">
        <f>IF($A953="","",IF(H953=0,"MATCH",IF(I953&gt;J953,"RECOUNT","WITHIN TOLERANCE")))</f>
        <v/>
      </c>
      <c r="L953" s="5" t="n"/>
      <c r="M953">
        <f>IF(OR($A953="",$L953=""),"",L953-F953)</f>
        <v/>
      </c>
      <c r="N953" s="5" t="n"/>
      <c r="O953" s="5" t="n"/>
    </row>
    <row r="954">
      <c r="A954">
        <f>IF('Blind Count Entry'!A952="","",'Blind Count Entry'!A952)</f>
        <v/>
      </c>
      <c r="B954" s="16">
        <f>IF($A954="","",'Blind Count Entry'!B952)</f>
        <v/>
      </c>
      <c r="C954">
        <f>IF($A954="","",'Blind Count Entry'!C952)</f>
        <v/>
      </c>
      <c r="D954">
        <f>IF($A954="","",'Blind Count Entry'!D952)</f>
        <v/>
      </c>
      <c r="E954">
        <f>IF($A954="","",IFERROR(INDEX('ABC Analysis'!$F:$F,MATCH($C954,'ABC Analysis'!$A:$A,0)),""))</f>
        <v/>
      </c>
      <c r="F954">
        <f>IF($A954="","",IFERROR(INDEX('Master Inventory'!$E:$E,MATCH($C954,'Master Inventory'!$A:$A,0)),0))</f>
        <v/>
      </c>
      <c r="G954">
        <f>IF($A954="","",'Blind Count Entry'!F952)</f>
        <v/>
      </c>
      <c r="H954">
        <f>IF($A954="","",G954-F954)</f>
        <v/>
      </c>
      <c r="I954" s="17">
        <f>IF($A954="","",IF(F954=0,IF(H954=0,0,1),ABS(H954)/F954))</f>
        <v/>
      </c>
      <c r="J954" s="18">
        <f>IF($A954="","",IF($E954="A",$E$1,IF($E954="B",$G$1,$I$1)))</f>
        <v/>
      </c>
      <c r="K954">
        <f>IF($A954="","",IF(H954=0,"MATCH",IF(I954&gt;J954,"RECOUNT","WITHIN TOLERANCE")))</f>
        <v/>
      </c>
      <c r="L954" s="5" t="n"/>
      <c r="M954">
        <f>IF(OR($A954="",$L954=""),"",L954-F954)</f>
        <v/>
      </c>
      <c r="N954" s="5" t="n"/>
      <c r="O954" s="5" t="n"/>
    </row>
    <row r="955">
      <c r="A955">
        <f>IF('Blind Count Entry'!A953="","",'Blind Count Entry'!A953)</f>
        <v/>
      </c>
      <c r="B955" s="16">
        <f>IF($A955="","",'Blind Count Entry'!B953)</f>
        <v/>
      </c>
      <c r="C955">
        <f>IF($A955="","",'Blind Count Entry'!C953)</f>
        <v/>
      </c>
      <c r="D955">
        <f>IF($A955="","",'Blind Count Entry'!D953)</f>
        <v/>
      </c>
      <c r="E955">
        <f>IF($A955="","",IFERROR(INDEX('ABC Analysis'!$F:$F,MATCH($C955,'ABC Analysis'!$A:$A,0)),""))</f>
        <v/>
      </c>
      <c r="F955">
        <f>IF($A955="","",IFERROR(INDEX('Master Inventory'!$E:$E,MATCH($C955,'Master Inventory'!$A:$A,0)),0))</f>
        <v/>
      </c>
      <c r="G955">
        <f>IF($A955="","",'Blind Count Entry'!F953)</f>
        <v/>
      </c>
      <c r="H955">
        <f>IF($A955="","",G955-F955)</f>
        <v/>
      </c>
      <c r="I955" s="17">
        <f>IF($A955="","",IF(F955=0,IF(H955=0,0,1),ABS(H955)/F955))</f>
        <v/>
      </c>
      <c r="J955" s="18">
        <f>IF($A955="","",IF($E955="A",$E$1,IF($E955="B",$G$1,$I$1)))</f>
        <v/>
      </c>
      <c r="K955">
        <f>IF($A955="","",IF(H955=0,"MATCH",IF(I955&gt;J955,"RECOUNT","WITHIN TOLERANCE")))</f>
        <v/>
      </c>
      <c r="L955" s="5" t="n"/>
      <c r="M955">
        <f>IF(OR($A955="",$L955=""),"",L955-F955)</f>
        <v/>
      </c>
      <c r="N955" s="5" t="n"/>
      <c r="O955" s="5" t="n"/>
    </row>
    <row r="956">
      <c r="A956">
        <f>IF('Blind Count Entry'!A954="","",'Blind Count Entry'!A954)</f>
        <v/>
      </c>
      <c r="B956" s="16">
        <f>IF($A956="","",'Blind Count Entry'!B954)</f>
        <v/>
      </c>
      <c r="C956">
        <f>IF($A956="","",'Blind Count Entry'!C954)</f>
        <v/>
      </c>
      <c r="D956">
        <f>IF($A956="","",'Blind Count Entry'!D954)</f>
        <v/>
      </c>
      <c r="E956">
        <f>IF($A956="","",IFERROR(INDEX('ABC Analysis'!$F:$F,MATCH($C956,'ABC Analysis'!$A:$A,0)),""))</f>
        <v/>
      </c>
      <c r="F956">
        <f>IF($A956="","",IFERROR(INDEX('Master Inventory'!$E:$E,MATCH($C956,'Master Inventory'!$A:$A,0)),0))</f>
        <v/>
      </c>
      <c r="G956">
        <f>IF($A956="","",'Blind Count Entry'!F954)</f>
        <v/>
      </c>
      <c r="H956">
        <f>IF($A956="","",G956-F956)</f>
        <v/>
      </c>
      <c r="I956" s="17">
        <f>IF($A956="","",IF(F956=0,IF(H956=0,0,1),ABS(H956)/F956))</f>
        <v/>
      </c>
      <c r="J956" s="18">
        <f>IF($A956="","",IF($E956="A",$E$1,IF($E956="B",$G$1,$I$1)))</f>
        <v/>
      </c>
      <c r="K956">
        <f>IF($A956="","",IF(H956=0,"MATCH",IF(I956&gt;J956,"RECOUNT","WITHIN TOLERANCE")))</f>
        <v/>
      </c>
      <c r="L956" s="5" t="n"/>
      <c r="M956">
        <f>IF(OR($A956="",$L956=""),"",L956-F956)</f>
        <v/>
      </c>
      <c r="N956" s="5" t="n"/>
      <c r="O956" s="5" t="n"/>
    </row>
    <row r="957">
      <c r="A957">
        <f>IF('Blind Count Entry'!A955="","",'Blind Count Entry'!A955)</f>
        <v/>
      </c>
      <c r="B957" s="16">
        <f>IF($A957="","",'Blind Count Entry'!B955)</f>
        <v/>
      </c>
      <c r="C957">
        <f>IF($A957="","",'Blind Count Entry'!C955)</f>
        <v/>
      </c>
      <c r="D957">
        <f>IF($A957="","",'Blind Count Entry'!D955)</f>
        <v/>
      </c>
      <c r="E957">
        <f>IF($A957="","",IFERROR(INDEX('ABC Analysis'!$F:$F,MATCH($C957,'ABC Analysis'!$A:$A,0)),""))</f>
        <v/>
      </c>
      <c r="F957">
        <f>IF($A957="","",IFERROR(INDEX('Master Inventory'!$E:$E,MATCH($C957,'Master Inventory'!$A:$A,0)),0))</f>
        <v/>
      </c>
      <c r="G957">
        <f>IF($A957="","",'Blind Count Entry'!F955)</f>
        <v/>
      </c>
      <c r="H957">
        <f>IF($A957="","",G957-F957)</f>
        <v/>
      </c>
      <c r="I957" s="17">
        <f>IF($A957="","",IF(F957=0,IF(H957=0,0,1),ABS(H957)/F957))</f>
        <v/>
      </c>
      <c r="J957" s="18">
        <f>IF($A957="","",IF($E957="A",$E$1,IF($E957="B",$G$1,$I$1)))</f>
        <v/>
      </c>
      <c r="K957">
        <f>IF($A957="","",IF(H957=0,"MATCH",IF(I957&gt;J957,"RECOUNT","WITHIN TOLERANCE")))</f>
        <v/>
      </c>
      <c r="L957" s="5" t="n"/>
      <c r="M957">
        <f>IF(OR($A957="",$L957=""),"",L957-F957)</f>
        <v/>
      </c>
      <c r="N957" s="5" t="n"/>
      <c r="O957" s="5" t="n"/>
    </row>
    <row r="958">
      <c r="A958">
        <f>IF('Blind Count Entry'!A956="","",'Blind Count Entry'!A956)</f>
        <v/>
      </c>
      <c r="B958" s="16">
        <f>IF($A958="","",'Blind Count Entry'!B956)</f>
        <v/>
      </c>
      <c r="C958">
        <f>IF($A958="","",'Blind Count Entry'!C956)</f>
        <v/>
      </c>
      <c r="D958">
        <f>IF($A958="","",'Blind Count Entry'!D956)</f>
        <v/>
      </c>
      <c r="E958">
        <f>IF($A958="","",IFERROR(INDEX('ABC Analysis'!$F:$F,MATCH($C958,'ABC Analysis'!$A:$A,0)),""))</f>
        <v/>
      </c>
      <c r="F958">
        <f>IF($A958="","",IFERROR(INDEX('Master Inventory'!$E:$E,MATCH($C958,'Master Inventory'!$A:$A,0)),0))</f>
        <v/>
      </c>
      <c r="G958">
        <f>IF($A958="","",'Blind Count Entry'!F956)</f>
        <v/>
      </c>
      <c r="H958">
        <f>IF($A958="","",G958-F958)</f>
        <v/>
      </c>
      <c r="I958" s="17">
        <f>IF($A958="","",IF(F958=0,IF(H958=0,0,1),ABS(H958)/F958))</f>
        <v/>
      </c>
      <c r="J958" s="18">
        <f>IF($A958="","",IF($E958="A",$E$1,IF($E958="B",$G$1,$I$1)))</f>
        <v/>
      </c>
      <c r="K958">
        <f>IF($A958="","",IF(H958=0,"MATCH",IF(I958&gt;J958,"RECOUNT","WITHIN TOLERANCE")))</f>
        <v/>
      </c>
      <c r="L958" s="5" t="n"/>
      <c r="M958">
        <f>IF(OR($A958="",$L958=""),"",L958-F958)</f>
        <v/>
      </c>
      <c r="N958" s="5" t="n"/>
      <c r="O958" s="5" t="n"/>
    </row>
    <row r="959">
      <c r="A959">
        <f>IF('Blind Count Entry'!A957="","",'Blind Count Entry'!A957)</f>
        <v/>
      </c>
      <c r="B959" s="16">
        <f>IF($A959="","",'Blind Count Entry'!B957)</f>
        <v/>
      </c>
      <c r="C959">
        <f>IF($A959="","",'Blind Count Entry'!C957)</f>
        <v/>
      </c>
      <c r="D959">
        <f>IF($A959="","",'Blind Count Entry'!D957)</f>
        <v/>
      </c>
      <c r="E959">
        <f>IF($A959="","",IFERROR(INDEX('ABC Analysis'!$F:$F,MATCH($C959,'ABC Analysis'!$A:$A,0)),""))</f>
        <v/>
      </c>
      <c r="F959">
        <f>IF($A959="","",IFERROR(INDEX('Master Inventory'!$E:$E,MATCH($C959,'Master Inventory'!$A:$A,0)),0))</f>
        <v/>
      </c>
      <c r="G959">
        <f>IF($A959="","",'Blind Count Entry'!F957)</f>
        <v/>
      </c>
      <c r="H959">
        <f>IF($A959="","",G959-F959)</f>
        <v/>
      </c>
      <c r="I959" s="17">
        <f>IF($A959="","",IF(F959=0,IF(H959=0,0,1),ABS(H959)/F959))</f>
        <v/>
      </c>
      <c r="J959" s="18">
        <f>IF($A959="","",IF($E959="A",$E$1,IF($E959="B",$G$1,$I$1)))</f>
        <v/>
      </c>
      <c r="K959">
        <f>IF($A959="","",IF(H959=0,"MATCH",IF(I959&gt;J959,"RECOUNT","WITHIN TOLERANCE")))</f>
        <v/>
      </c>
      <c r="L959" s="5" t="n"/>
      <c r="M959">
        <f>IF(OR($A959="",$L959=""),"",L959-F959)</f>
        <v/>
      </c>
      <c r="N959" s="5" t="n"/>
      <c r="O959" s="5" t="n"/>
    </row>
    <row r="960">
      <c r="A960">
        <f>IF('Blind Count Entry'!A958="","",'Blind Count Entry'!A958)</f>
        <v/>
      </c>
      <c r="B960" s="16">
        <f>IF($A960="","",'Blind Count Entry'!B958)</f>
        <v/>
      </c>
      <c r="C960">
        <f>IF($A960="","",'Blind Count Entry'!C958)</f>
        <v/>
      </c>
      <c r="D960">
        <f>IF($A960="","",'Blind Count Entry'!D958)</f>
        <v/>
      </c>
      <c r="E960">
        <f>IF($A960="","",IFERROR(INDEX('ABC Analysis'!$F:$F,MATCH($C960,'ABC Analysis'!$A:$A,0)),""))</f>
        <v/>
      </c>
      <c r="F960">
        <f>IF($A960="","",IFERROR(INDEX('Master Inventory'!$E:$E,MATCH($C960,'Master Inventory'!$A:$A,0)),0))</f>
        <v/>
      </c>
      <c r="G960">
        <f>IF($A960="","",'Blind Count Entry'!F958)</f>
        <v/>
      </c>
      <c r="H960">
        <f>IF($A960="","",G960-F960)</f>
        <v/>
      </c>
      <c r="I960" s="17">
        <f>IF($A960="","",IF(F960=0,IF(H960=0,0,1),ABS(H960)/F960))</f>
        <v/>
      </c>
      <c r="J960" s="18">
        <f>IF($A960="","",IF($E960="A",$E$1,IF($E960="B",$G$1,$I$1)))</f>
        <v/>
      </c>
      <c r="K960">
        <f>IF($A960="","",IF(H960=0,"MATCH",IF(I960&gt;J960,"RECOUNT","WITHIN TOLERANCE")))</f>
        <v/>
      </c>
      <c r="L960" s="5" t="n"/>
      <c r="M960">
        <f>IF(OR($A960="",$L960=""),"",L960-F960)</f>
        <v/>
      </c>
      <c r="N960" s="5" t="n"/>
      <c r="O960" s="5" t="n"/>
    </row>
    <row r="961">
      <c r="A961">
        <f>IF('Blind Count Entry'!A959="","",'Blind Count Entry'!A959)</f>
        <v/>
      </c>
      <c r="B961" s="16">
        <f>IF($A961="","",'Blind Count Entry'!B959)</f>
        <v/>
      </c>
      <c r="C961">
        <f>IF($A961="","",'Blind Count Entry'!C959)</f>
        <v/>
      </c>
      <c r="D961">
        <f>IF($A961="","",'Blind Count Entry'!D959)</f>
        <v/>
      </c>
      <c r="E961">
        <f>IF($A961="","",IFERROR(INDEX('ABC Analysis'!$F:$F,MATCH($C961,'ABC Analysis'!$A:$A,0)),""))</f>
        <v/>
      </c>
      <c r="F961">
        <f>IF($A961="","",IFERROR(INDEX('Master Inventory'!$E:$E,MATCH($C961,'Master Inventory'!$A:$A,0)),0))</f>
        <v/>
      </c>
      <c r="G961">
        <f>IF($A961="","",'Blind Count Entry'!F959)</f>
        <v/>
      </c>
      <c r="H961">
        <f>IF($A961="","",G961-F961)</f>
        <v/>
      </c>
      <c r="I961" s="17">
        <f>IF($A961="","",IF(F961=0,IF(H961=0,0,1),ABS(H961)/F961))</f>
        <v/>
      </c>
      <c r="J961" s="18">
        <f>IF($A961="","",IF($E961="A",$E$1,IF($E961="B",$G$1,$I$1)))</f>
        <v/>
      </c>
      <c r="K961">
        <f>IF($A961="","",IF(H961=0,"MATCH",IF(I961&gt;J961,"RECOUNT","WITHIN TOLERANCE")))</f>
        <v/>
      </c>
      <c r="L961" s="5" t="n"/>
      <c r="M961">
        <f>IF(OR($A961="",$L961=""),"",L961-F961)</f>
        <v/>
      </c>
      <c r="N961" s="5" t="n"/>
      <c r="O961" s="5" t="n"/>
    </row>
    <row r="962">
      <c r="A962">
        <f>IF('Blind Count Entry'!A960="","",'Blind Count Entry'!A960)</f>
        <v/>
      </c>
      <c r="B962" s="16">
        <f>IF($A962="","",'Blind Count Entry'!B960)</f>
        <v/>
      </c>
      <c r="C962">
        <f>IF($A962="","",'Blind Count Entry'!C960)</f>
        <v/>
      </c>
      <c r="D962">
        <f>IF($A962="","",'Blind Count Entry'!D960)</f>
        <v/>
      </c>
      <c r="E962">
        <f>IF($A962="","",IFERROR(INDEX('ABC Analysis'!$F:$F,MATCH($C962,'ABC Analysis'!$A:$A,0)),""))</f>
        <v/>
      </c>
      <c r="F962">
        <f>IF($A962="","",IFERROR(INDEX('Master Inventory'!$E:$E,MATCH($C962,'Master Inventory'!$A:$A,0)),0))</f>
        <v/>
      </c>
      <c r="G962">
        <f>IF($A962="","",'Blind Count Entry'!F960)</f>
        <v/>
      </c>
      <c r="H962">
        <f>IF($A962="","",G962-F962)</f>
        <v/>
      </c>
      <c r="I962" s="17">
        <f>IF($A962="","",IF(F962=0,IF(H962=0,0,1),ABS(H962)/F962))</f>
        <v/>
      </c>
      <c r="J962" s="18">
        <f>IF($A962="","",IF($E962="A",$E$1,IF($E962="B",$G$1,$I$1)))</f>
        <v/>
      </c>
      <c r="K962">
        <f>IF($A962="","",IF(H962=0,"MATCH",IF(I962&gt;J962,"RECOUNT","WITHIN TOLERANCE")))</f>
        <v/>
      </c>
      <c r="L962" s="5" t="n"/>
      <c r="M962">
        <f>IF(OR($A962="",$L962=""),"",L962-F962)</f>
        <v/>
      </c>
      <c r="N962" s="5" t="n"/>
      <c r="O962" s="5" t="n"/>
    </row>
    <row r="963">
      <c r="A963">
        <f>IF('Blind Count Entry'!A961="","",'Blind Count Entry'!A961)</f>
        <v/>
      </c>
      <c r="B963" s="16">
        <f>IF($A963="","",'Blind Count Entry'!B961)</f>
        <v/>
      </c>
      <c r="C963">
        <f>IF($A963="","",'Blind Count Entry'!C961)</f>
        <v/>
      </c>
      <c r="D963">
        <f>IF($A963="","",'Blind Count Entry'!D961)</f>
        <v/>
      </c>
      <c r="E963">
        <f>IF($A963="","",IFERROR(INDEX('ABC Analysis'!$F:$F,MATCH($C963,'ABC Analysis'!$A:$A,0)),""))</f>
        <v/>
      </c>
      <c r="F963">
        <f>IF($A963="","",IFERROR(INDEX('Master Inventory'!$E:$E,MATCH($C963,'Master Inventory'!$A:$A,0)),0))</f>
        <v/>
      </c>
      <c r="G963">
        <f>IF($A963="","",'Blind Count Entry'!F961)</f>
        <v/>
      </c>
      <c r="H963">
        <f>IF($A963="","",G963-F963)</f>
        <v/>
      </c>
      <c r="I963" s="17">
        <f>IF($A963="","",IF(F963=0,IF(H963=0,0,1),ABS(H963)/F963))</f>
        <v/>
      </c>
      <c r="J963" s="18">
        <f>IF($A963="","",IF($E963="A",$E$1,IF($E963="B",$G$1,$I$1)))</f>
        <v/>
      </c>
      <c r="K963">
        <f>IF($A963="","",IF(H963=0,"MATCH",IF(I963&gt;J963,"RECOUNT","WITHIN TOLERANCE")))</f>
        <v/>
      </c>
      <c r="L963" s="5" t="n"/>
      <c r="M963">
        <f>IF(OR($A963="",$L963=""),"",L963-F963)</f>
        <v/>
      </c>
      <c r="N963" s="5" t="n"/>
      <c r="O963" s="5" t="n"/>
    </row>
    <row r="964">
      <c r="A964">
        <f>IF('Blind Count Entry'!A962="","",'Blind Count Entry'!A962)</f>
        <v/>
      </c>
      <c r="B964" s="16">
        <f>IF($A964="","",'Blind Count Entry'!B962)</f>
        <v/>
      </c>
      <c r="C964">
        <f>IF($A964="","",'Blind Count Entry'!C962)</f>
        <v/>
      </c>
      <c r="D964">
        <f>IF($A964="","",'Blind Count Entry'!D962)</f>
        <v/>
      </c>
      <c r="E964">
        <f>IF($A964="","",IFERROR(INDEX('ABC Analysis'!$F:$F,MATCH($C964,'ABC Analysis'!$A:$A,0)),""))</f>
        <v/>
      </c>
      <c r="F964">
        <f>IF($A964="","",IFERROR(INDEX('Master Inventory'!$E:$E,MATCH($C964,'Master Inventory'!$A:$A,0)),0))</f>
        <v/>
      </c>
      <c r="G964">
        <f>IF($A964="","",'Blind Count Entry'!F962)</f>
        <v/>
      </c>
      <c r="H964">
        <f>IF($A964="","",G964-F964)</f>
        <v/>
      </c>
      <c r="I964" s="17">
        <f>IF($A964="","",IF(F964=0,IF(H964=0,0,1),ABS(H964)/F964))</f>
        <v/>
      </c>
      <c r="J964" s="18">
        <f>IF($A964="","",IF($E964="A",$E$1,IF($E964="B",$G$1,$I$1)))</f>
        <v/>
      </c>
      <c r="K964">
        <f>IF($A964="","",IF(H964=0,"MATCH",IF(I964&gt;J964,"RECOUNT","WITHIN TOLERANCE")))</f>
        <v/>
      </c>
      <c r="L964" s="5" t="n"/>
      <c r="M964">
        <f>IF(OR($A964="",$L964=""),"",L964-F964)</f>
        <v/>
      </c>
      <c r="N964" s="5" t="n"/>
      <c r="O964" s="5" t="n"/>
    </row>
    <row r="965">
      <c r="A965">
        <f>IF('Blind Count Entry'!A963="","",'Blind Count Entry'!A963)</f>
        <v/>
      </c>
      <c r="B965" s="16">
        <f>IF($A965="","",'Blind Count Entry'!B963)</f>
        <v/>
      </c>
      <c r="C965">
        <f>IF($A965="","",'Blind Count Entry'!C963)</f>
        <v/>
      </c>
      <c r="D965">
        <f>IF($A965="","",'Blind Count Entry'!D963)</f>
        <v/>
      </c>
      <c r="E965">
        <f>IF($A965="","",IFERROR(INDEX('ABC Analysis'!$F:$F,MATCH($C965,'ABC Analysis'!$A:$A,0)),""))</f>
        <v/>
      </c>
      <c r="F965">
        <f>IF($A965="","",IFERROR(INDEX('Master Inventory'!$E:$E,MATCH($C965,'Master Inventory'!$A:$A,0)),0))</f>
        <v/>
      </c>
      <c r="G965">
        <f>IF($A965="","",'Blind Count Entry'!F963)</f>
        <v/>
      </c>
      <c r="H965">
        <f>IF($A965="","",G965-F965)</f>
        <v/>
      </c>
      <c r="I965" s="17">
        <f>IF($A965="","",IF(F965=0,IF(H965=0,0,1),ABS(H965)/F965))</f>
        <v/>
      </c>
      <c r="J965" s="18">
        <f>IF($A965="","",IF($E965="A",$E$1,IF($E965="B",$G$1,$I$1)))</f>
        <v/>
      </c>
      <c r="K965">
        <f>IF($A965="","",IF(H965=0,"MATCH",IF(I965&gt;J965,"RECOUNT","WITHIN TOLERANCE")))</f>
        <v/>
      </c>
      <c r="L965" s="5" t="n"/>
      <c r="M965">
        <f>IF(OR($A965="",$L965=""),"",L965-F965)</f>
        <v/>
      </c>
      <c r="N965" s="5" t="n"/>
      <c r="O965" s="5" t="n"/>
    </row>
    <row r="966">
      <c r="A966">
        <f>IF('Blind Count Entry'!A964="","",'Blind Count Entry'!A964)</f>
        <v/>
      </c>
      <c r="B966" s="16">
        <f>IF($A966="","",'Blind Count Entry'!B964)</f>
        <v/>
      </c>
      <c r="C966">
        <f>IF($A966="","",'Blind Count Entry'!C964)</f>
        <v/>
      </c>
      <c r="D966">
        <f>IF($A966="","",'Blind Count Entry'!D964)</f>
        <v/>
      </c>
      <c r="E966">
        <f>IF($A966="","",IFERROR(INDEX('ABC Analysis'!$F:$F,MATCH($C966,'ABC Analysis'!$A:$A,0)),""))</f>
        <v/>
      </c>
      <c r="F966">
        <f>IF($A966="","",IFERROR(INDEX('Master Inventory'!$E:$E,MATCH($C966,'Master Inventory'!$A:$A,0)),0))</f>
        <v/>
      </c>
      <c r="G966">
        <f>IF($A966="","",'Blind Count Entry'!F964)</f>
        <v/>
      </c>
      <c r="H966">
        <f>IF($A966="","",G966-F966)</f>
        <v/>
      </c>
      <c r="I966" s="17">
        <f>IF($A966="","",IF(F966=0,IF(H966=0,0,1),ABS(H966)/F966))</f>
        <v/>
      </c>
      <c r="J966" s="18">
        <f>IF($A966="","",IF($E966="A",$E$1,IF($E966="B",$G$1,$I$1)))</f>
        <v/>
      </c>
      <c r="K966">
        <f>IF($A966="","",IF(H966=0,"MATCH",IF(I966&gt;J966,"RECOUNT","WITHIN TOLERANCE")))</f>
        <v/>
      </c>
      <c r="L966" s="5" t="n"/>
      <c r="M966">
        <f>IF(OR($A966="",$L966=""),"",L966-F966)</f>
        <v/>
      </c>
      <c r="N966" s="5" t="n"/>
      <c r="O966" s="5" t="n"/>
    </row>
    <row r="967">
      <c r="A967">
        <f>IF('Blind Count Entry'!A965="","",'Blind Count Entry'!A965)</f>
        <v/>
      </c>
      <c r="B967" s="16">
        <f>IF($A967="","",'Blind Count Entry'!B965)</f>
        <v/>
      </c>
      <c r="C967">
        <f>IF($A967="","",'Blind Count Entry'!C965)</f>
        <v/>
      </c>
      <c r="D967">
        <f>IF($A967="","",'Blind Count Entry'!D965)</f>
        <v/>
      </c>
      <c r="E967">
        <f>IF($A967="","",IFERROR(INDEX('ABC Analysis'!$F:$F,MATCH($C967,'ABC Analysis'!$A:$A,0)),""))</f>
        <v/>
      </c>
      <c r="F967">
        <f>IF($A967="","",IFERROR(INDEX('Master Inventory'!$E:$E,MATCH($C967,'Master Inventory'!$A:$A,0)),0))</f>
        <v/>
      </c>
      <c r="G967">
        <f>IF($A967="","",'Blind Count Entry'!F965)</f>
        <v/>
      </c>
      <c r="H967">
        <f>IF($A967="","",G967-F967)</f>
        <v/>
      </c>
      <c r="I967" s="17">
        <f>IF($A967="","",IF(F967=0,IF(H967=0,0,1),ABS(H967)/F967))</f>
        <v/>
      </c>
      <c r="J967" s="18">
        <f>IF($A967="","",IF($E967="A",$E$1,IF($E967="B",$G$1,$I$1)))</f>
        <v/>
      </c>
      <c r="K967">
        <f>IF($A967="","",IF(H967=0,"MATCH",IF(I967&gt;J967,"RECOUNT","WITHIN TOLERANCE")))</f>
        <v/>
      </c>
      <c r="L967" s="5" t="n"/>
      <c r="M967">
        <f>IF(OR($A967="",$L967=""),"",L967-F967)</f>
        <v/>
      </c>
      <c r="N967" s="5" t="n"/>
      <c r="O967" s="5" t="n"/>
    </row>
    <row r="968">
      <c r="A968">
        <f>IF('Blind Count Entry'!A966="","",'Blind Count Entry'!A966)</f>
        <v/>
      </c>
      <c r="B968" s="16">
        <f>IF($A968="","",'Blind Count Entry'!B966)</f>
        <v/>
      </c>
      <c r="C968">
        <f>IF($A968="","",'Blind Count Entry'!C966)</f>
        <v/>
      </c>
      <c r="D968">
        <f>IF($A968="","",'Blind Count Entry'!D966)</f>
        <v/>
      </c>
      <c r="E968">
        <f>IF($A968="","",IFERROR(INDEX('ABC Analysis'!$F:$F,MATCH($C968,'ABC Analysis'!$A:$A,0)),""))</f>
        <v/>
      </c>
      <c r="F968">
        <f>IF($A968="","",IFERROR(INDEX('Master Inventory'!$E:$E,MATCH($C968,'Master Inventory'!$A:$A,0)),0))</f>
        <v/>
      </c>
      <c r="G968">
        <f>IF($A968="","",'Blind Count Entry'!F966)</f>
        <v/>
      </c>
      <c r="H968">
        <f>IF($A968="","",G968-F968)</f>
        <v/>
      </c>
      <c r="I968" s="17">
        <f>IF($A968="","",IF(F968=0,IF(H968=0,0,1),ABS(H968)/F968))</f>
        <v/>
      </c>
      <c r="J968" s="18">
        <f>IF($A968="","",IF($E968="A",$E$1,IF($E968="B",$G$1,$I$1)))</f>
        <v/>
      </c>
      <c r="K968">
        <f>IF($A968="","",IF(H968=0,"MATCH",IF(I968&gt;J968,"RECOUNT","WITHIN TOLERANCE")))</f>
        <v/>
      </c>
      <c r="L968" s="5" t="n"/>
      <c r="M968">
        <f>IF(OR($A968="",$L968=""),"",L968-F968)</f>
        <v/>
      </c>
      <c r="N968" s="5" t="n"/>
      <c r="O968" s="5" t="n"/>
    </row>
    <row r="969">
      <c r="A969">
        <f>IF('Blind Count Entry'!A967="","",'Blind Count Entry'!A967)</f>
        <v/>
      </c>
      <c r="B969" s="16">
        <f>IF($A969="","",'Blind Count Entry'!B967)</f>
        <v/>
      </c>
      <c r="C969">
        <f>IF($A969="","",'Blind Count Entry'!C967)</f>
        <v/>
      </c>
      <c r="D969">
        <f>IF($A969="","",'Blind Count Entry'!D967)</f>
        <v/>
      </c>
      <c r="E969">
        <f>IF($A969="","",IFERROR(INDEX('ABC Analysis'!$F:$F,MATCH($C969,'ABC Analysis'!$A:$A,0)),""))</f>
        <v/>
      </c>
      <c r="F969">
        <f>IF($A969="","",IFERROR(INDEX('Master Inventory'!$E:$E,MATCH($C969,'Master Inventory'!$A:$A,0)),0))</f>
        <v/>
      </c>
      <c r="G969">
        <f>IF($A969="","",'Blind Count Entry'!F967)</f>
        <v/>
      </c>
      <c r="H969">
        <f>IF($A969="","",G969-F969)</f>
        <v/>
      </c>
      <c r="I969" s="17">
        <f>IF($A969="","",IF(F969=0,IF(H969=0,0,1),ABS(H969)/F969))</f>
        <v/>
      </c>
      <c r="J969" s="18">
        <f>IF($A969="","",IF($E969="A",$E$1,IF($E969="B",$G$1,$I$1)))</f>
        <v/>
      </c>
      <c r="K969">
        <f>IF($A969="","",IF(H969=0,"MATCH",IF(I969&gt;J969,"RECOUNT","WITHIN TOLERANCE")))</f>
        <v/>
      </c>
      <c r="L969" s="5" t="n"/>
      <c r="M969">
        <f>IF(OR($A969="",$L969=""),"",L969-F969)</f>
        <v/>
      </c>
      <c r="N969" s="5" t="n"/>
      <c r="O969" s="5" t="n"/>
    </row>
    <row r="970">
      <c r="A970">
        <f>IF('Blind Count Entry'!A968="","",'Blind Count Entry'!A968)</f>
        <v/>
      </c>
      <c r="B970" s="16">
        <f>IF($A970="","",'Blind Count Entry'!B968)</f>
        <v/>
      </c>
      <c r="C970">
        <f>IF($A970="","",'Blind Count Entry'!C968)</f>
        <v/>
      </c>
      <c r="D970">
        <f>IF($A970="","",'Blind Count Entry'!D968)</f>
        <v/>
      </c>
      <c r="E970">
        <f>IF($A970="","",IFERROR(INDEX('ABC Analysis'!$F:$F,MATCH($C970,'ABC Analysis'!$A:$A,0)),""))</f>
        <v/>
      </c>
      <c r="F970">
        <f>IF($A970="","",IFERROR(INDEX('Master Inventory'!$E:$E,MATCH($C970,'Master Inventory'!$A:$A,0)),0))</f>
        <v/>
      </c>
      <c r="G970">
        <f>IF($A970="","",'Blind Count Entry'!F968)</f>
        <v/>
      </c>
      <c r="H970">
        <f>IF($A970="","",G970-F970)</f>
        <v/>
      </c>
      <c r="I970" s="17">
        <f>IF($A970="","",IF(F970=0,IF(H970=0,0,1),ABS(H970)/F970))</f>
        <v/>
      </c>
      <c r="J970" s="18">
        <f>IF($A970="","",IF($E970="A",$E$1,IF($E970="B",$G$1,$I$1)))</f>
        <v/>
      </c>
      <c r="K970">
        <f>IF($A970="","",IF(H970=0,"MATCH",IF(I970&gt;J970,"RECOUNT","WITHIN TOLERANCE")))</f>
        <v/>
      </c>
      <c r="L970" s="5" t="n"/>
      <c r="M970">
        <f>IF(OR($A970="",$L970=""),"",L970-F970)</f>
        <v/>
      </c>
      <c r="N970" s="5" t="n"/>
      <c r="O970" s="5" t="n"/>
    </row>
    <row r="971">
      <c r="A971">
        <f>IF('Blind Count Entry'!A969="","",'Blind Count Entry'!A969)</f>
        <v/>
      </c>
      <c r="B971" s="16">
        <f>IF($A971="","",'Blind Count Entry'!B969)</f>
        <v/>
      </c>
      <c r="C971">
        <f>IF($A971="","",'Blind Count Entry'!C969)</f>
        <v/>
      </c>
      <c r="D971">
        <f>IF($A971="","",'Blind Count Entry'!D969)</f>
        <v/>
      </c>
      <c r="E971">
        <f>IF($A971="","",IFERROR(INDEX('ABC Analysis'!$F:$F,MATCH($C971,'ABC Analysis'!$A:$A,0)),""))</f>
        <v/>
      </c>
      <c r="F971">
        <f>IF($A971="","",IFERROR(INDEX('Master Inventory'!$E:$E,MATCH($C971,'Master Inventory'!$A:$A,0)),0))</f>
        <v/>
      </c>
      <c r="G971">
        <f>IF($A971="","",'Blind Count Entry'!F969)</f>
        <v/>
      </c>
      <c r="H971">
        <f>IF($A971="","",G971-F971)</f>
        <v/>
      </c>
      <c r="I971" s="17">
        <f>IF($A971="","",IF(F971=0,IF(H971=0,0,1),ABS(H971)/F971))</f>
        <v/>
      </c>
      <c r="J971" s="18">
        <f>IF($A971="","",IF($E971="A",$E$1,IF($E971="B",$G$1,$I$1)))</f>
        <v/>
      </c>
      <c r="K971">
        <f>IF($A971="","",IF(H971=0,"MATCH",IF(I971&gt;J971,"RECOUNT","WITHIN TOLERANCE")))</f>
        <v/>
      </c>
      <c r="L971" s="5" t="n"/>
      <c r="M971">
        <f>IF(OR($A971="",$L971=""),"",L971-F971)</f>
        <v/>
      </c>
      <c r="N971" s="5" t="n"/>
      <c r="O971" s="5" t="n"/>
    </row>
    <row r="972">
      <c r="A972">
        <f>IF('Blind Count Entry'!A970="","",'Blind Count Entry'!A970)</f>
        <v/>
      </c>
      <c r="B972" s="16">
        <f>IF($A972="","",'Blind Count Entry'!B970)</f>
        <v/>
      </c>
      <c r="C972">
        <f>IF($A972="","",'Blind Count Entry'!C970)</f>
        <v/>
      </c>
      <c r="D972">
        <f>IF($A972="","",'Blind Count Entry'!D970)</f>
        <v/>
      </c>
      <c r="E972">
        <f>IF($A972="","",IFERROR(INDEX('ABC Analysis'!$F:$F,MATCH($C972,'ABC Analysis'!$A:$A,0)),""))</f>
        <v/>
      </c>
      <c r="F972">
        <f>IF($A972="","",IFERROR(INDEX('Master Inventory'!$E:$E,MATCH($C972,'Master Inventory'!$A:$A,0)),0))</f>
        <v/>
      </c>
      <c r="G972">
        <f>IF($A972="","",'Blind Count Entry'!F970)</f>
        <v/>
      </c>
      <c r="H972">
        <f>IF($A972="","",G972-F972)</f>
        <v/>
      </c>
      <c r="I972" s="17">
        <f>IF($A972="","",IF(F972=0,IF(H972=0,0,1),ABS(H972)/F972))</f>
        <v/>
      </c>
      <c r="J972" s="18">
        <f>IF($A972="","",IF($E972="A",$E$1,IF($E972="B",$G$1,$I$1)))</f>
        <v/>
      </c>
      <c r="K972">
        <f>IF($A972="","",IF(H972=0,"MATCH",IF(I972&gt;J972,"RECOUNT","WITHIN TOLERANCE")))</f>
        <v/>
      </c>
      <c r="L972" s="5" t="n"/>
      <c r="M972">
        <f>IF(OR($A972="",$L972=""),"",L972-F972)</f>
        <v/>
      </c>
      <c r="N972" s="5" t="n"/>
      <c r="O972" s="5" t="n"/>
    </row>
    <row r="973">
      <c r="A973">
        <f>IF('Blind Count Entry'!A971="","",'Blind Count Entry'!A971)</f>
        <v/>
      </c>
      <c r="B973" s="16">
        <f>IF($A973="","",'Blind Count Entry'!B971)</f>
        <v/>
      </c>
      <c r="C973">
        <f>IF($A973="","",'Blind Count Entry'!C971)</f>
        <v/>
      </c>
      <c r="D973">
        <f>IF($A973="","",'Blind Count Entry'!D971)</f>
        <v/>
      </c>
      <c r="E973">
        <f>IF($A973="","",IFERROR(INDEX('ABC Analysis'!$F:$F,MATCH($C973,'ABC Analysis'!$A:$A,0)),""))</f>
        <v/>
      </c>
      <c r="F973">
        <f>IF($A973="","",IFERROR(INDEX('Master Inventory'!$E:$E,MATCH($C973,'Master Inventory'!$A:$A,0)),0))</f>
        <v/>
      </c>
      <c r="G973">
        <f>IF($A973="","",'Blind Count Entry'!F971)</f>
        <v/>
      </c>
      <c r="H973">
        <f>IF($A973="","",G973-F973)</f>
        <v/>
      </c>
      <c r="I973" s="17">
        <f>IF($A973="","",IF(F973=0,IF(H973=0,0,1),ABS(H973)/F973))</f>
        <v/>
      </c>
      <c r="J973" s="18">
        <f>IF($A973="","",IF($E973="A",$E$1,IF($E973="B",$G$1,$I$1)))</f>
        <v/>
      </c>
      <c r="K973">
        <f>IF($A973="","",IF(H973=0,"MATCH",IF(I973&gt;J973,"RECOUNT","WITHIN TOLERANCE")))</f>
        <v/>
      </c>
      <c r="L973" s="5" t="n"/>
      <c r="M973">
        <f>IF(OR($A973="",$L973=""),"",L973-F973)</f>
        <v/>
      </c>
      <c r="N973" s="5" t="n"/>
      <c r="O973" s="5" t="n"/>
    </row>
    <row r="974">
      <c r="A974">
        <f>IF('Blind Count Entry'!A972="","",'Blind Count Entry'!A972)</f>
        <v/>
      </c>
      <c r="B974" s="16">
        <f>IF($A974="","",'Blind Count Entry'!B972)</f>
        <v/>
      </c>
      <c r="C974">
        <f>IF($A974="","",'Blind Count Entry'!C972)</f>
        <v/>
      </c>
      <c r="D974">
        <f>IF($A974="","",'Blind Count Entry'!D972)</f>
        <v/>
      </c>
      <c r="E974">
        <f>IF($A974="","",IFERROR(INDEX('ABC Analysis'!$F:$F,MATCH($C974,'ABC Analysis'!$A:$A,0)),""))</f>
        <v/>
      </c>
      <c r="F974">
        <f>IF($A974="","",IFERROR(INDEX('Master Inventory'!$E:$E,MATCH($C974,'Master Inventory'!$A:$A,0)),0))</f>
        <v/>
      </c>
      <c r="G974">
        <f>IF($A974="","",'Blind Count Entry'!F972)</f>
        <v/>
      </c>
      <c r="H974">
        <f>IF($A974="","",G974-F974)</f>
        <v/>
      </c>
      <c r="I974" s="17">
        <f>IF($A974="","",IF(F974=0,IF(H974=0,0,1),ABS(H974)/F974))</f>
        <v/>
      </c>
      <c r="J974" s="18">
        <f>IF($A974="","",IF($E974="A",$E$1,IF($E974="B",$G$1,$I$1)))</f>
        <v/>
      </c>
      <c r="K974">
        <f>IF($A974="","",IF(H974=0,"MATCH",IF(I974&gt;J974,"RECOUNT","WITHIN TOLERANCE")))</f>
        <v/>
      </c>
      <c r="L974" s="5" t="n"/>
      <c r="M974">
        <f>IF(OR($A974="",$L974=""),"",L974-F974)</f>
        <v/>
      </c>
      <c r="N974" s="5" t="n"/>
      <c r="O974" s="5" t="n"/>
    </row>
    <row r="975">
      <c r="A975">
        <f>IF('Blind Count Entry'!A973="","",'Blind Count Entry'!A973)</f>
        <v/>
      </c>
      <c r="B975" s="16">
        <f>IF($A975="","",'Blind Count Entry'!B973)</f>
        <v/>
      </c>
      <c r="C975">
        <f>IF($A975="","",'Blind Count Entry'!C973)</f>
        <v/>
      </c>
      <c r="D975">
        <f>IF($A975="","",'Blind Count Entry'!D973)</f>
        <v/>
      </c>
      <c r="E975">
        <f>IF($A975="","",IFERROR(INDEX('ABC Analysis'!$F:$F,MATCH($C975,'ABC Analysis'!$A:$A,0)),""))</f>
        <v/>
      </c>
      <c r="F975">
        <f>IF($A975="","",IFERROR(INDEX('Master Inventory'!$E:$E,MATCH($C975,'Master Inventory'!$A:$A,0)),0))</f>
        <v/>
      </c>
      <c r="G975">
        <f>IF($A975="","",'Blind Count Entry'!F973)</f>
        <v/>
      </c>
      <c r="H975">
        <f>IF($A975="","",G975-F975)</f>
        <v/>
      </c>
      <c r="I975" s="17">
        <f>IF($A975="","",IF(F975=0,IF(H975=0,0,1),ABS(H975)/F975))</f>
        <v/>
      </c>
      <c r="J975" s="18">
        <f>IF($A975="","",IF($E975="A",$E$1,IF($E975="B",$G$1,$I$1)))</f>
        <v/>
      </c>
      <c r="K975">
        <f>IF($A975="","",IF(H975=0,"MATCH",IF(I975&gt;J975,"RECOUNT","WITHIN TOLERANCE")))</f>
        <v/>
      </c>
      <c r="L975" s="5" t="n"/>
      <c r="M975">
        <f>IF(OR($A975="",$L975=""),"",L975-F975)</f>
        <v/>
      </c>
      <c r="N975" s="5" t="n"/>
      <c r="O975" s="5" t="n"/>
    </row>
    <row r="976">
      <c r="A976">
        <f>IF('Blind Count Entry'!A974="","",'Blind Count Entry'!A974)</f>
        <v/>
      </c>
      <c r="B976" s="16">
        <f>IF($A976="","",'Blind Count Entry'!B974)</f>
        <v/>
      </c>
      <c r="C976">
        <f>IF($A976="","",'Blind Count Entry'!C974)</f>
        <v/>
      </c>
      <c r="D976">
        <f>IF($A976="","",'Blind Count Entry'!D974)</f>
        <v/>
      </c>
      <c r="E976">
        <f>IF($A976="","",IFERROR(INDEX('ABC Analysis'!$F:$F,MATCH($C976,'ABC Analysis'!$A:$A,0)),""))</f>
        <v/>
      </c>
      <c r="F976">
        <f>IF($A976="","",IFERROR(INDEX('Master Inventory'!$E:$E,MATCH($C976,'Master Inventory'!$A:$A,0)),0))</f>
        <v/>
      </c>
      <c r="G976">
        <f>IF($A976="","",'Blind Count Entry'!F974)</f>
        <v/>
      </c>
      <c r="H976">
        <f>IF($A976="","",G976-F976)</f>
        <v/>
      </c>
      <c r="I976" s="17">
        <f>IF($A976="","",IF(F976=0,IF(H976=0,0,1),ABS(H976)/F976))</f>
        <v/>
      </c>
      <c r="J976" s="18">
        <f>IF($A976="","",IF($E976="A",$E$1,IF($E976="B",$G$1,$I$1)))</f>
        <v/>
      </c>
      <c r="K976">
        <f>IF($A976="","",IF(H976=0,"MATCH",IF(I976&gt;J976,"RECOUNT","WITHIN TOLERANCE")))</f>
        <v/>
      </c>
      <c r="L976" s="5" t="n"/>
      <c r="M976">
        <f>IF(OR($A976="",$L976=""),"",L976-F976)</f>
        <v/>
      </c>
      <c r="N976" s="5" t="n"/>
      <c r="O976" s="5" t="n"/>
    </row>
    <row r="977">
      <c r="A977">
        <f>IF('Blind Count Entry'!A975="","",'Blind Count Entry'!A975)</f>
        <v/>
      </c>
      <c r="B977" s="16">
        <f>IF($A977="","",'Blind Count Entry'!B975)</f>
        <v/>
      </c>
      <c r="C977">
        <f>IF($A977="","",'Blind Count Entry'!C975)</f>
        <v/>
      </c>
      <c r="D977">
        <f>IF($A977="","",'Blind Count Entry'!D975)</f>
        <v/>
      </c>
      <c r="E977">
        <f>IF($A977="","",IFERROR(INDEX('ABC Analysis'!$F:$F,MATCH($C977,'ABC Analysis'!$A:$A,0)),""))</f>
        <v/>
      </c>
      <c r="F977">
        <f>IF($A977="","",IFERROR(INDEX('Master Inventory'!$E:$E,MATCH($C977,'Master Inventory'!$A:$A,0)),0))</f>
        <v/>
      </c>
      <c r="G977">
        <f>IF($A977="","",'Blind Count Entry'!F975)</f>
        <v/>
      </c>
      <c r="H977">
        <f>IF($A977="","",G977-F977)</f>
        <v/>
      </c>
      <c r="I977" s="17">
        <f>IF($A977="","",IF(F977=0,IF(H977=0,0,1),ABS(H977)/F977))</f>
        <v/>
      </c>
      <c r="J977" s="18">
        <f>IF($A977="","",IF($E977="A",$E$1,IF($E977="B",$G$1,$I$1)))</f>
        <v/>
      </c>
      <c r="K977">
        <f>IF($A977="","",IF(H977=0,"MATCH",IF(I977&gt;J977,"RECOUNT","WITHIN TOLERANCE")))</f>
        <v/>
      </c>
      <c r="L977" s="5" t="n"/>
      <c r="M977">
        <f>IF(OR($A977="",$L977=""),"",L977-F977)</f>
        <v/>
      </c>
      <c r="N977" s="5" t="n"/>
      <c r="O977" s="5" t="n"/>
    </row>
    <row r="978">
      <c r="A978">
        <f>IF('Blind Count Entry'!A976="","",'Blind Count Entry'!A976)</f>
        <v/>
      </c>
      <c r="B978" s="16">
        <f>IF($A978="","",'Blind Count Entry'!B976)</f>
        <v/>
      </c>
      <c r="C978">
        <f>IF($A978="","",'Blind Count Entry'!C976)</f>
        <v/>
      </c>
      <c r="D978">
        <f>IF($A978="","",'Blind Count Entry'!D976)</f>
        <v/>
      </c>
      <c r="E978">
        <f>IF($A978="","",IFERROR(INDEX('ABC Analysis'!$F:$F,MATCH($C978,'ABC Analysis'!$A:$A,0)),""))</f>
        <v/>
      </c>
      <c r="F978">
        <f>IF($A978="","",IFERROR(INDEX('Master Inventory'!$E:$E,MATCH($C978,'Master Inventory'!$A:$A,0)),0))</f>
        <v/>
      </c>
      <c r="G978">
        <f>IF($A978="","",'Blind Count Entry'!F976)</f>
        <v/>
      </c>
      <c r="H978">
        <f>IF($A978="","",G978-F978)</f>
        <v/>
      </c>
      <c r="I978" s="17">
        <f>IF($A978="","",IF(F978=0,IF(H978=0,0,1),ABS(H978)/F978))</f>
        <v/>
      </c>
      <c r="J978" s="18">
        <f>IF($A978="","",IF($E978="A",$E$1,IF($E978="B",$G$1,$I$1)))</f>
        <v/>
      </c>
      <c r="K978">
        <f>IF($A978="","",IF(H978=0,"MATCH",IF(I978&gt;J978,"RECOUNT","WITHIN TOLERANCE")))</f>
        <v/>
      </c>
      <c r="L978" s="5" t="n"/>
      <c r="M978">
        <f>IF(OR($A978="",$L978=""),"",L978-F978)</f>
        <v/>
      </c>
      <c r="N978" s="5" t="n"/>
      <c r="O978" s="5" t="n"/>
    </row>
    <row r="979">
      <c r="A979">
        <f>IF('Blind Count Entry'!A977="","",'Blind Count Entry'!A977)</f>
        <v/>
      </c>
      <c r="B979" s="16">
        <f>IF($A979="","",'Blind Count Entry'!B977)</f>
        <v/>
      </c>
      <c r="C979">
        <f>IF($A979="","",'Blind Count Entry'!C977)</f>
        <v/>
      </c>
      <c r="D979">
        <f>IF($A979="","",'Blind Count Entry'!D977)</f>
        <v/>
      </c>
      <c r="E979">
        <f>IF($A979="","",IFERROR(INDEX('ABC Analysis'!$F:$F,MATCH($C979,'ABC Analysis'!$A:$A,0)),""))</f>
        <v/>
      </c>
      <c r="F979">
        <f>IF($A979="","",IFERROR(INDEX('Master Inventory'!$E:$E,MATCH($C979,'Master Inventory'!$A:$A,0)),0))</f>
        <v/>
      </c>
      <c r="G979">
        <f>IF($A979="","",'Blind Count Entry'!F977)</f>
        <v/>
      </c>
      <c r="H979">
        <f>IF($A979="","",G979-F979)</f>
        <v/>
      </c>
      <c r="I979" s="17">
        <f>IF($A979="","",IF(F979=0,IF(H979=0,0,1),ABS(H979)/F979))</f>
        <v/>
      </c>
      <c r="J979" s="18">
        <f>IF($A979="","",IF($E979="A",$E$1,IF($E979="B",$G$1,$I$1)))</f>
        <v/>
      </c>
      <c r="K979">
        <f>IF($A979="","",IF(H979=0,"MATCH",IF(I979&gt;J979,"RECOUNT","WITHIN TOLERANCE")))</f>
        <v/>
      </c>
      <c r="L979" s="5" t="n"/>
      <c r="M979">
        <f>IF(OR($A979="",$L979=""),"",L979-F979)</f>
        <v/>
      </c>
      <c r="N979" s="5" t="n"/>
      <c r="O979" s="5" t="n"/>
    </row>
    <row r="980">
      <c r="A980">
        <f>IF('Blind Count Entry'!A978="","",'Blind Count Entry'!A978)</f>
        <v/>
      </c>
      <c r="B980" s="16">
        <f>IF($A980="","",'Blind Count Entry'!B978)</f>
        <v/>
      </c>
      <c r="C980">
        <f>IF($A980="","",'Blind Count Entry'!C978)</f>
        <v/>
      </c>
      <c r="D980">
        <f>IF($A980="","",'Blind Count Entry'!D978)</f>
        <v/>
      </c>
      <c r="E980">
        <f>IF($A980="","",IFERROR(INDEX('ABC Analysis'!$F:$F,MATCH($C980,'ABC Analysis'!$A:$A,0)),""))</f>
        <v/>
      </c>
      <c r="F980">
        <f>IF($A980="","",IFERROR(INDEX('Master Inventory'!$E:$E,MATCH($C980,'Master Inventory'!$A:$A,0)),0))</f>
        <v/>
      </c>
      <c r="G980">
        <f>IF($A980="","",'Blind Count Entry'!F978)</f>
        <v/>
      </c>
      <c r="H980">
        <f>IF($A980="","",G980-F980)</f>
        <v/>
      </c>
      <c r="I980" s="17">
        <f>IF($A980="","",IF(F980=0,IF(H980=0,0,1),ABS(H980)/F980))</f>
        <v/>
      </c>
      <c r="J980" s="18">
        <f>IF($A980="","",IF($E980="A",$E$1,IF($E980="B",$G$1,$I$1)))</f>
        <v/>
      </c>
      <c r="K980">
        <f>IF($A980="","",IF(H980=0,"MATCH",IF(I980&gt;J980,"RECOUNT","WITHIN TOLERANCE")))</f>
        <v/>
      </c>
      <c r="L980" s="5" t="n"/>
      <c r="M980">
        <f>IF(OR($A980="",$L980=""),"",L980-F980)</f>
        <v/>
      </c>
      <c r="N980" s="5" t="n"/>
      <c r="O980" s="5" t="n"/>
    </row>
    <row r="981">
      <c r="A981">
        <f>IF('Blind Count Entry'!A979="","",'Blind Count Entry'!A979)</f>
        <v/>
      </c>
      <c r="B981" s="16">
        <f>IF($A981="","",'Blind Count Entry'!B979)</f>
        <v/>
      </c>
      <c r="C981">
        <f>IF($A981="","",'Blind Count Entry'!C979)</f>
        <v/>
      </c>
      <c r="D981">
        <f>IF($A981="","",'Blind Count Entry'!D979)</f>
        <v/>
      </c>
      <c r="E981">
        <f>IF($A981="","",IFERROR(INDEX('ABC Analysis'!$F:$F,MATCH($C981,'ABC Analysis'!$A:$A,0)),""))</f>
        <v/>
      </c>
      <c r="F981">
        <f>IF($A981="","",IFERROR(INDEX('Master Inventory'!$E:$E,MATCH($C981,'Master Inventory'!$A:$A,0)),0))</f>
        <v/>
      </c>
      <c r="G981">
        <f>IF($A981="","",'Blind Count Entry'!F979)</f>
        <v/>
      </c>
      <c r="H981">
        <f>IF($A981="","",G981-F981)</f>
        <v/>
      </c>
      <c r="I981" s="17">
        <f>IF($A981="","",IF(F981=0,IF(H981=0,0,1),ABS(H981)/F981))</f>
        <v/>
      </c>
      <c r="J981" s="18">
        <f>IF($A981="","",IF($E981="A",$E$1,IF($E981="B",$G$1,$I$1)))</f>
        <v/>
      </c>
      <c r="K981">
        <f>IF($A981="","",IF(H981=0,"MATCH",IF(I981&gt;J981,"RECOUNT","WITHIN TOLERANCE")))</f>
        <v/>
      </c>
      <c r="L981" s="5" t="n"/>
      <c r="M981">
        <f>IF(OR($A981="",$L981=""),"",L981-F981)</f>
        <v/>
      </c>
      <c r="N981" s="5" t="n"/>
      <c r="O981" s="5" t="n"/>
    </row>
    <row r="982">
      <c r="A982">
        <f>IF('Blind Count Entry'!A980="","",'Blind Count Entry'!A980)</f>
        <v/>
      </c>
      <c r="B982" s="16">
        <f>IF($A982="","",'Blind Count Entry'!B980)</f>
        <v/>
      </c>
      <c r="C982">
        <f>IF($A982="","",'Blind Count Entry'!C980)</f>
        <v/>
      </c>
      <c r="D982">
        <f>IF($A982="","",'Blind Count Entry'!D980)</f>
        <v/>
      </c>
      <c r="E982">
        <f>IF($A982="","",IFERROR(INDEX('ABC Analysis'!$F:$F,MATCH($C982,'ABC Analysis'!$A:$A,0)),""))</f>
        <v/>
      </c>
      <c r="F982">
        <f>IF($A982="","",IFERROR(INDEX('Master Inventory'!$E:$E,MATCH($C982,'Master Inventory'!$A:$A,0)),0))</f>
        <v/>
      </c>
      <c r="G982">
        <f>IF($A982="","",'Blind Count Entry'!F980)</f>
        <v/>
      </c>
      <c r="H982">
        <f>IF($A982="","",G982-F982)</f>
        <v/>
      </c>
      <c r="I982" s="17">
        <f>IF($A982="","",IF(F982=0,IF(H982=0,0,1),ABS(H982)/F982))</f>
        <v/>
      </c>
      <c r="J982" s="18">
        <f>IF($A982="","",IF($E982="A",$E$1,IF($E982="B",$G$1,$I$1)))</f>
        <v/>
      </c>
      <c r="K982">
        <f>IF($A982="","",IF(H982=0,"MATCH",IF(I982&gt;J982,"RECOUNT","WITHIN TOLERANCE")))</f>
        <v/>
      </c>
      <c r="L982" s="5" t="n"/>
      <c r="M982">
        <f>IF(OR($A982="",$L982=""),"",L982-F982)</f>
        <v/>
      </c>
      <c r="N982" s="5" t="n"/>
      <c r="O982" s="5" t="n"/>
    </row>
    <row r="983">
      <c r="A983">
        <f>IF('Blind Count Entry'!A981="","",'Blind Count Entry'!A981)</f>
        <v/>
      </c>
      <c r="B983" s="16">
        <f>IF($A983="","",'Blind Count Entry'!B981)</f>
        <v/>
      </c>
      <c r="C983">
        <f>IF($A983="","",'Blind Count Entry'!C981)</f>
        <v/>
      </c>
      <c r="D983">
        <f>IF($A983="","",'Blind Count Entry'!D981)</f>
        <v/>
      </c>
      <c r="E983">
        <f>IF($A983="","",IFERROR(INDEX('ABC Analysis'!$F:$F,MATCH($C983,'ABC Analysis'!$A:$A,0)),""))</f>
        <v/>
      </c>
      <c r="F983">
        <f>IF($A983="","",IFERROR(INDEX('Master Inventory'!$E:$E,MATCH($C983,'Master Inventory'!$A:$A,0)),0))</f>
        <v/>
      </c>
      <c r="G983">
        <f>IF($A983="","",'Blind Count Entry'!F981)</f>
        <v/>
      </c>
      <c r="H983">
        <f>IF($A983="","",G983-F983)</f>
        <v/>
      </c>
      <c r="I983" s="17">
        <f>IF($A983="","",IF(F983=0,IF(H983=0,0,1),ABS(H983)/F983))</f>
        <v/>
      </c>
      <c r="J983" s="18">
        <f>IF($A983="","",IF($E983="A",$E$1,IF($E983="B",$G$1,$I$1)))</f>
        <v/>
      </c>
      <c r="K983">
        <f>IF($A983="","",IF(H983=0,"MATCH",IF(I983&gt;J983,"RECOUNT","WITHIN TOLERANCE")))</f>
        <v/>
      </c>
      <c r="L983" s="5" t="n"/>
      <c r="M983">
        <f>IF(OR($A983="",$L983=""),"",L983-F983)</f>
        <v/>
      </c>
      <c r="N983" s="5" t="n"/>
      <c r="O983" s="5" t="n"/>
    </row>
    <row r="984">
      <c r="A984">
        <f>IF('Blind Count Entry'!A982="","",'Blind Count Entry'!A982)</f>
        <v/>
      </c>
      <c r="B984" s="16">
        <f>IF($A984="","",'Blind Count Entry'!B982)</f>
        <v/>
      </c>
      <c r="C984">
        <f>IF($A984="","",'Blind Count Entry'!C982)</f>
        <v/>
      </c>
      <c r="D984">
        <f>IF($A984="","",'Blind Count Entry'!D982)</f>
        <v/>
      </c>
      <c r="E984">
        <f>IF($A984="","",IFERROR(INDEX('ABC Analysis'!$F:$F,MATCH($C984,'ABC Analysis'!$A:$A,0)),""))</f>
        <v/>
      </c>
      <c r="F984">
        <f>IF($A984="","",IFERROR(INDEX('Master Inventory'!$E:$E,MATCH($C984,'Master Inventory'!$A:$A,0)),0))</f>
        <v/>
      </c>
      <c r="G984">
        <f>IF($A984="","",'Blind Count Entry'!F982)</f>
        <v/>
      </c>
      <c r="H984">
        <f>IF($A984="","",G984-F984)</f>
        <v/>
      </c>
      <c r="I984" s="17">
        <f>IF($A984="","",IF(F984=0,IF(H984=0,0,1),ABS(H984)/F984))</f>
        <v/>
      </c>
      <c r="J984" s="18">
        <f>IF($A984="","",IF($E984="A",$E$1,IF($E984="B",$G$1,$I$1)))</f>
        <v/>
      </c>
      <c r="K984">
        <f>IF($A984="","",IF(H984=0,"MATCH",IF(I984&gt;J984,"RECOUNT","WITHIN TOLERANCE")))</f>
        <v/>
      </c>
      <c r="L984" s="5" t="n"/>
      <c r="M984">
        <f>IF(OR($A984="",$L984=""),"",L984-F984)</f>
        <v/>
      </c>
      <c r="N984" s="5" t="n"/>
      <c r="O984" s="5" t="n"/>
    </row>
    <row r="985">
      <c r="A985">
        <f>IF('Blind Count Entry'!A983="","",'Blind Count Entry'!A983)</f>
        <v/>
      </c>
      <c r="B985" s="16">
        <f>IF($A985="","",'Blind Count Entry'!B983)</f>
        <v/>
      </c>
      <c r="C985">
        <f>IF($A985="","",'Blind Count Entry'!C983)</f>
        <v/>
      </c>
      <c r="D985">
        <f>IF($A985="","",'Blind Count Entry'!D983)</f>
        <v/>
      </c>
      <c r="E985">
        <f>IF($A985="","",IFERROR(INDEX('ABC Analysis'!$F:$F,MATCH($C985,'ABC Analysis'!$A:$A,0)),""))</f>
        <v/>
      </c>
      <c r="F985">
        <f>IF($A985="","",IFERROR(INDEX('Master Inventory'!$E:$E,MATCH($C985,'Master Inventory'!$A:$A,0)),0))</f>
        <v/>
      </c>
      <c r="G985">
        <f>IF($A985="","",'Blind Count Entry'!F983)</f>
        <v/>
      </c>
      <c r="H985">
        <f>IF($A985="","",G985-F985)</f>
        <v/>
      </c>
      <c r="I985" s="17">
        <f>IF($A985="","",IF(F985=0,IF(H985=0,0,1),ABS(H985)/F985))</f>
        <v/>
      </c>
      <c r="J985" s="18">
        <f>IF($A985="","",IF($E985="A",$E$1,IF($E985="B",$G$1,$I$1)))</f>
        <v/>
      </c>
      <c r="K985">
        <f>IF($A985="","",IF(H985=0,"MATCH",IF(I985&gt;J985,"RECOUNT","WITHIN TOLERANCE")))</f>
        <v/>
      </c>
      <c r="L985" s="5" t="n"/>
      <c r="M985">
        <f>IF(OR($A985="",$L985=""),"",L985-F985)</f>
        <v/>
      </c>
      <c r="N985" s="5" t="n"/>
      <c r="O985" s="5" t="n"/>
    </row>
    <row r="986">
      <c r="A986">
        <f>IF('Blind Count Entry'!A984="","",'Blind Count Entry'!A984)</f>
        <v/>
      </c>
      <c r="B986" s="16">
        <f>IF($A986="","",'Blind Count Entry'!B984)</f>
        <v/>
      </c>
      <c r="C986">
        <f>IF($A986="","",'Blind Count Entry'!C984)</f>
        <v/>
      </c>
      <c r="D986">
        <f>IF($A986="","",'Blind Count Entry'!D984)</f>
        <v/>
      </c>
      <c r="E986">
        <f>IF($A986="","",IFERROR(INDEX('ABC Analysis'!$F:$F,MATCH($C986,'ABC Analysis'!$A:$A,0)),""))</f>
        <v/>
      </c>
      <c r="F986">
        <f>IF($A986="","",IFERROR(INDEX('Master Inventory'!$E:$E,MATCH($C986,'Master Inventory'!$A:$A,0)),0))</f>
        <v/>
      </c>
      <c r="G986">
        <f>IF($A986="","",'Blind Count Entry'!F984)</f>
        <v/>
      </c>
      <c r="H986">
        <f>IF($A986="","",G986-F986)</f>
        <v/>
      </c>
      <c r="I986" s="17">
        <f>IF($A986="","",IF(F986=0,IF(H986=0,0,1),ABS(H986)/F986))</f>
        <v/>
      </c>
      <c r="J986" s="18">
        <f>IF($A986="","",IF($E986="A",$E$1,IF($E986="B",$G$1,$I$1)))</f>
        <v/>
      </c>
      <c r="K986">
        <f>IF($A986="","",IF(H986=0,"MATCH",IF(I986&gt;J986,"RECOUNT","WITHIN TOLERANCE")))</f>
        <v/>
      </c>
      <c r="L986" s="5" t="n"/>
      <c r="M986">
        <f>IF(OR($A986="",$L986=""),"",L986-F986)</f>
        <v/>
      </c>
      <c r="N986" s="5" t="n"/>
      <c r="O986" s="5" t="n"/>
    </row>
    <row r="987">
      <c r="A987">
        <f>IF('Blind Count Entry'!A985="","",'Blind Count Entry'!A985)</f>
        <v/>
      </c>
      <c r="B987" s="16">
        <f>IF($A987="","",'Blind Count Entry'!B985)</f>
        <v/>
      </c>
      <c r="C987">
        <f>IF($A987="","",'Blind Count Entry'!C985)</f>
        <v/>
      </c>
      <c r="D987">
        <f>IF($A987="","",'Blind Count Entry'!D985)</f>
        <v/>
      </c>
      <c r="E987">
        <f>IF($A987="","",IFERROR(INDEX('ABC Analysis'!$F:$F,MATCH($C987,'ABC Analysis'!$A:$A,0)),""))</f>
        <v/>
      </c>
      <c r="F987">
        <f>IF($A987="","",IFERROR(INDEX('Master Inventory'!$E:$E,MATCH($C987,'Master Inventory'!$A:$A,0)),0))</f>
        <v/>
      </c>
      <c r="G987">
        <f>IF($A987="","",'Blind Count Entry'!F985)</f>
        <v/>
      </c>
      <c r="H987">
        <f>IF($A987="","",G987-F987)</f>
        <v/>
      </c>
      <c r="I987" s="17">
        <f>IF($A987="","",IF(F987=0,IF(H987=0,0,1),ABS(H987)/F987))</f>
        <v/>
      </c>
      <c r="J987" s="18">
        <f>IF($A987="","",IF($E987="A",$E$1,IF($E987="B",$G$1,$I$1)))</f>
        <v/>
      </c>
      <c r="K987">
        <f>IF($A987="","",IF(H987=0,"MATCH",IF(I987&gt;J987,"RECOUNT","WITHIN TOLERANCE")))</f>
        <v/>
      </c>
      <c r="L987" s="5" t="n"/>
      <c r="M987">
        <f>IF(OR($A987="",$L987=""),"",L987-F987)</f>
        <v/>
      </c>
      <c r="N987" s="5" t="n"/>
      <c r="O987" s="5" t="n"/>
    </row>
    <row r="988">
      <c r="A988">
        <f>IF('Blind Count Entry'!A986="","",'Blind Count Entry'!A986)</f>
        <v/>
      </c>
      <c r="B988" s="16">
        <f>IF($A988="","",'Blind Count Entry'!B986)</f>
        <v/>
      </c>
      <c r="C988">
        <f>IF($A988="","",'Blind Count Entry'!C986)</f>
        <v/>
      </c>
      <c r="D988">
        <f>IF($A988="","",'Blind Count Entry'!D986)</f>
        <v/>
      </c>
      <c r="E988">
        <f>IF($A988="","",IFERROR(INDEX('ABC Analysis'!$F:$F,MATCH($C988,'ABC Analysis'!$A:$A,0)),""))</f>
        <v/>
      </c>
      <c r="F988">
        <f>IF($A988="","",IFERROR(INDEX('Master Inventory'!$E:$E,MATCH($C988,'Master Inventory'!$A:$A,0)),0))</f>
        <v/>
      </c>
      <c r="G988">
        <f>IF($A988="","",'Blind Count Entry'!F986)</f>
        <v/>
      </c>
      <c r="H988">
        <f>IF($A988="","",G988-F988)</f>
        <v/>
      </c>
      <c r="I988" s="17">
        <f>IF($A988="","",IF(F988=0,IF(H988=0,0,1),ABS(H988)/F988))</f>
        <v/>
      </c>
      <c r="J988" s="18">
        <f>IF($A988="","",IF($E988="A",$E$1,IF($E988="B",$G$1,$I$1)))</f>
        <v/>
      </c>
      <c r="K988">
        <f>IF($A988="","",IF(H988=0,"MATCH",IF(I988&gt;J988,"RECOUNT","WITHIN TOLERANCE")))</f>
        <v/>
      </c>
      <c r="L988" s="5" t="n"/>
      <c r="M988">
        <f>IF(OR($A988="",$L988=""),"",L988-F988)</f>
        <v/>
      </c>
      <c r="N988" s="5" t="n"/>
      <c r="O988" s="5" t="n"/>
    </row>
    <row r="989">
      <c r="A989">
        <f>IF('Blind Count Entry'!A987="","",'Blind Count Entry'!A987)</f>
        <v/>
      </c>
      <c r="B989" s="16">
        <f>IF($A989="","",'Blind Count Entry'!B987)</f>
        <v/>
      </c>
      <c r="C989">
        <f>IF($A989="","",'Blind Count Entry'!C987)</f>
        <v/>
      </c>
      <c r="D989">
        <f>IF($A989="","",'Blind Count Entry'!D987)</f>
        <v/>
      </c>
      <c r="E989">
        <f>IF($A989="","",IFERROR(INDEX('ABC Analysis'!$F:$F,MATCH($C989,'ABC Analysis'!$A:$A,0)),""))</f>
        <v/>
      </c>
      <c r="F989">
        <f>IF($A989="","",IFERROR(INDEX('Master Inventory'!$E:$E,MATCH($C989,'Master Inventory'!$A:$A,0)),0))</f>
        <v/>
      </c>
      <c r="G989">
        <f>IF($A989="","",'Blind Count Entry'!F987)</f>
        <v/>
      </c>
      <c r="H989">
        <f>IF($A989="","",G989-F989)</f>
        <v/>
      </c>
      <c r="I989" s="17">
        <f>IF($A989="","",IF(F989=0,IF(H989=0,0,1),ABS(H989)/F989))</f>
        <v/>
      </c>
      <c r="J989" s="18">
        <f>IF($A989="","",IF($E989="A",$E$1,IF($E989="B",$G$1,$I$1)))</f>
        <v/>
      </c>
      <c r="K989">
        <f>IF($A989="","",IF(H989=0,"MATCH",IF(I989&gt;J989,"RECOUNT","WITHIN TOLERANCE")))</f>
        <v/>
      </c>
      <c r="L989" s="5" t="n"/>
      <c r="M989">
        <f>IF(OR($A989="",$L989=""),"",L989-F989)</f>
        <v/>
      </c>
      <c r="N989" s="5" t="n"/>
      <c r="O989" s="5" t="n"/>
    </row>
    <row r="990">
      <c r="A990">
        <f>IF('Blind Count Entry'!A988="","",'Blind Count Entry'!A988)</f>
        <v/>
      </c>
      <c r="B990" s="16">
        <f>IF($A990="","",'Blind Count Entry'!B988)</f>
        <v/>
      </c>
      <c r="C990">
        <f>IF($A990="","",'Blind Count Entry'!C988)</f>
        <v/>
      </c>
      <c r="D990">
        <f>IF($A990="","",'Blind Count Entry'!D988)</f>
        <v/>
      </c>
      <c r="E990">
        <f>IF($A990="","",IFERROR(INDEX('ABC Analysis'!$F:$F,MATCH($C990,'ABC Analysis'!$A:$A,0)),""))</f>
        <v/>
      </c>
      <c r="F990">
        <f>IF($A990="","",IFERROR(INDEX('Master Inventory'!$E:$E,MATCH($C990,'Master Inventory'!$A:$A,0)),0))</f>
        <v/>
      </c>
      <c r="G990">
        <f>IF($A990="","",'Blind Count Entry'!F988)</f>
        <v/>
      </c>
      <c r="H990">
        <f>IF($A990="","",G990-F990)</f>
        <v/>
      </c>
      <c r="I990" s="17">
        <f>IF($A990="","",IF(F990=0,IF(H990=0,0,1),ABS(H990)/F990))</f>
        <v/>
      </c>
      <c r="J990" s="18">
        <f>IF($A990="","",IF($E990="A",$E$1,IF($E990="B",$G$1,$I$1)))</f>
        <v/>
      </c>
      <c r="K990">
        <f>IF($A990="","",IF(H990=0,"MATCH",IF(I990&gt;J990,"RECOUNT","WITHIN TOLERANCE")))</f>
        <v/>
      </c>
      <c r="L990" s="5" t="n"/>
      <c r="M990">
        <f>IF(OR($A990="",$L990=""),"",L990-F990)</f>
        <v/>
      </c>
      <c r="N990" s="5" t="n"/>
      <c r="O990" s="5" t="n"/>
    </row>
    <row r="991">
      <c r="A991">
        <f>IF('Blind Count Entry'!A989="","",'Blind Count Entry'!A989)</f>
        <v/>
      </c>
      <c r="B991" s="16">
        <f>IF($A991="","",'Blind Count Entry'!B989)</f>
        <v/>
      </c>
      <c r="C991">
        <f>IF($A991="","",'Blind Count Entry'!C989)</f>
        <v/>
      </c>
      <c r="D991">
        <f>IF($A991="","",'Blind Count Entry'!D989)</f>
        <v/>
      </c>
      <c r="E991">
        <f>IF($A991="","",IFERROR(INDEX('ABC Analysis'!$F:$F,MATCH($C991,'ABC Analysis'!$A:$A,0)),""))</f>
        <v/>
      </c>
      <c r="F991">
        <f>IF($A991="","",IFERROR(INDEX('Master Inventory'!$E:$E,MATCH($C991,'Master Inventory'!$A:$A,0)),0))</f>
        <v/>
      </c>
      <c r="G991">
        <f>IF($A991="","",'Blind Count Entry'!F989)</f>
        <v/>
      </c>
      <c r="H991">
        <f>IF($A991="","",G991-F991)</f>
        <v/>
      </c>
      <c r="I991" s="17">
        <f>IF($A991="","",IF(F991=0,IF(H991=0,0,1),ABS(H991)/F991))</f>
        <v/>
      </c>
      <c r="J991" s="18">
        <f>IF($A991="","",IF($E991="A",$E$1,IF($E991="B",$G$1,$I$1)))</f>
        <v/>
      </c>
      <c r="K991">
        <f>IF($A991="","",IF(H991=0,"MATCH",IF(I991&gt;J991,"RECOUNT","WITHIN TOLERANCE")))</f>
        <v/>
      </c>
      <c r="L991" s="5" t="n"/>
      <c r="M991">
        <f>IF(OR($A991="",$L991=""),"",L991-F991)</f>
        <v/>
      </c>
      <c r="N991" s="5" t="n"/>
      <c r="O991" s="5" t="n"/>
    </row>
    <row r="992">
      <c r="A992">
        <f>IF('Blind Count Entry'!A990="","",'Blind Count Entry'!A990)</f>
        <v/>
      </c>
      <c r="B992" s="16">
        <f>IF($A992="","",'Blind Count Entry'!B990)</f>
        <v/>
      </c>
      <c r="C992">
        <f>IF($A992="","",'Blind Count Entry'!C990)</f>
        <v/>
      </c>
      <c r="D992">
        <f>IF($A992="","",'Blind Count Entry'!D990)</f>
        <v/>
      </c>
      <c r="E992">
        <f>IF($A992="","",IFERROR(INDEX('ABC Analysis'!$F:$F,MATCH($C992,'ABC Analysis'!$A:$A,0)),""))</f>
        <v/>
      </c>
      <c r="F992">
        <f>IF($A992="","",IFERROR(INDEX('Master Inventory'!$E:$E,MATCH($C992,'Master Inventory'!$A:$A,0)),0))</f>
        <v/>
      </c>
      <c r="G992">
        <f>IF($A992="","",'Blind Count Entry'!F990)</f>
        <v/>
      </c>
      <c r="H992">
        <f>IF($A992="","",G992-F992)</f>
        <v/>
      </c>
      <c r="I992" s="17">
        <f>IF($A992="","",IF(F992=0,IF(H992=0,0,1),ABS(H992)/F992))</f>
        <v/>
      </c>
      <c r="J992" s="18">
        <f>IF($A992="","",IF($E992="A",$E$1,IF($E992="B",$G$1,$I$1)))</f>
        <v/>
      </c>
      <c r="K992">
        <f>IF($A992="","",IF(H992=0,"MATCH",IF(I992&gt;J992,"RECOUNT","WITHIN TOLERANCE")))</f>
        <v/>
      </c>
      <c r="L992" s="5" t="n"/>
      <c r="M992">
        <f>IF(OR($A992="",$L992=""),"",L992-F992)</f>
        <v/>
      </c>
      <c r="N992" s="5" t="n"/>
      <c r="O992" s="5" t="n"/>
    </row>
    <row r="993">
      <c r="A993">
        <f>IF('Blind Count Entry'!A991="","",'Blind Count Entry'!A991)</f>
        <v/>
      </c>
      <c r="B993" s="16">
        <f>IF($A993="","",'Blind Count Entry'!B991)</f>
        <v/>
      </c>
      <c r="C993">
        <f>IF($A993="","",'Blind Count Entry'!C991)</f>
        <v/>
      </c>
      <c r="D993">
        <f>IF($A993="","",'Blind Count Entry'!D991)</f>
        <v/>
      </c>
      <c r="E993">
        <f>IF($A993="","",IFERROR(INDEX('ABC Analysis'!$F:$F,MATCH($C993,'ABC Analysis'!$A:$A,0)),""))</f>
        <v/>
      </c>
      <c r="F993">
        <f>IF($A993="","",IFERROR(INDEX('Master Inventory'!$E:$E,MATCH($C993,'Master Inventory'!$A:$A,0)),0))</f>
        <v/>
      </c>
      <c r="G993">
        <f>IF($A993="","",'Blind Count Entry'!F991)</f>
        <v/>
      </c>
      <c r="H993">
        <f>IF($A993="","",G993-F993)</f>
        <v/>
      </c>
      <c r="I993" s="17">
        <f>IF($A993="","",IF(F993=0,IF(H993=0,0,1),ABS(H993)/F993))</f>
        <v/>
      </c>
      <c r="J993" s="18">
        <f>IF($A993="","",IF($E993="A",$E$1,IF($E993="B",$G$1,$I$1)))</f>
        <v/>
      </c>
      <c r="K993">
        <f>IF($A993="","",IF(H993=0,"MATCH",IF(I993&gt;J993,"RECOUNT","WITHIN TOLERANCE")))</f>
        <v/>
      </c>
      <c r="L993" s="5" t="n"/>
      <c r="M993">
        <f>IF(OR($A993="",$L993=""),"",L993-F993)</f>
        <v/>
      </c>
      <c r="N993" s="5" t="n"/>
      <c r="O993" s="5" t="n"/>
    </row>
    <row r="994">
      <c r="A994">
        <f>IF('Blind Count Entry'!A992="","",'Blind Count Entry'!A992)</f>
        <v/>
      </c>
      <c r="B994" s="16">
        <f>IF($A994="","",'Blind Count Entry'!B992)</f>
        <v/>
      </c>
      <c r="C994">
        <f>IF($A994="","",'Blind Count Entry'!C992)</f>
        <v/>
      </c>
      <c r="D994">
        <f>IF($A994="","",'Blind Count Entry'!D992)</f>
        <v/>
      </c>
      <c r="E994">
        <f>IF($A994="","",IFERROR(INDEX('ABC Analysis'!$F:$F,MATCH($C994,'ABC Analysis'!$A:$A,0)),""))</f>
        <v/>
      </c>
      <c r="F994">
        <f>IF($A994="","",IFERROR(INDEX('Master Inventory'!$E:$E,MATCH($C994,'Master Inventory'!$A:$A,0)),0))</f>
        <v/>
      </c>
      <c r="G994">
        <f>IF($A994="","",'Blind Count Entry'!F992)</f>
        <v/>
      </c>
      <c r="H994">
        <f>IF($A994="","",G994-F994)</f>
        <v/>
      </c>
      <c r="I994" s="17">
        <f>IF($A994="","",IF(F994=0,IF(H994=0,0,1),ABS(H994)/F994))</f>
        <v/>
      </c>
      <c r="J994" s="18">
        <f>IF($A994="","",IF($E994="A",$E$1,IF($E994="B",$G$1,$I$1)))</f>
        <v/>
      </c>
      <c r="K994">
        <f>IF($A994="","",IF(H994=0,"MATCH",IF(I994&gt;J994,"RECOUNT","WITHIN TOLERANCE")))</f>
        <v/>
      </c>
      <c r="L994" s="5" t="n"/>
      <c r="M994">
        <f>IF(OR($A994="",$L994=""),"",L994-F994)</f>
        <v/>
      </c>
      <c r="N994" s="5" t="n"/>
      <c r="O994" s="5" t="n"/>
    </row>
    <row r="995">
      <c r="A995">
        <f>IF('Blind Count Entry'!A993="","",'Blind Count Entry'!A993)</f>
        <v/>
      </c>
      <c r="B995" s="16">
        <f>IF($A995="","",'Blind Count Entry'!B993)</f>
        <v/>
      </c>
      <c r="C995">
        <f>IF($A995="","",'Blind Count Entry'!C993)</f>
        <v/>
      </c>
      <c r="D995">
        <f>IF($A995="","",'Blind Count Entry'!D993)</f>
        <v/>
      </c>
      <c r="E995">
        <f>IF($A995="","",IFERROR(INDEX('ABC Analysis'!$F:$F,MATCH($C995,'ABC Analysis'!$A:$A,0)),""))</f>
        <v/>
      </c>
      <c r="F995">
        <f>IF($A995="","",IFERROR(INDEX('Master Inventory'!$E:$E,MATCH($C995,'Master Inventory'!$A:$A,0)),0))</f>
        <v/>
      </c>
      <c r="G995">
        <f>IF($A995="","",'Blind Count Entry'!F993)</f>
        <v/>
      </c>
      <c r="H995">
        <f>IF($A995="","",G995-F995)</f>
        <v/>
      </c>
      <c r="I995" s="17">
        <f>IF($A995="","",IF(F995=0,IF(H995=0,0,1),ABS(H995)/F995))</f>
        <v/>
      </c>
      <c r="J995" s="18">
        <f>IF($A995="","",IF($E995="A",$E$1,IF($E995="B",$G$1,$I$1)))</f>
        <v/>
      </c>
      <c r="K995">
        <f>IF($A995="","",IF(H995=0,"MATCH",IF(I995&gt;J995,"RECOUNT","WITHIN TOLERANCE")))</f>
        <v/>
      </c>
      <c r="L995" s="5" t="n"/>
      <c r="M995">
        <f>IF(OR($A995="",$L995=""),"",L995-F995)</f>
        <v/>
      </c>
      <c r="N995" s="5" t="n"/>
      <c r="O995" s="5" t="n"/>
    </row>
    <row r="996">
      <c r="A996">
        <f>IF('Blind Count Entry'!A994="","",'Blind Count Entry'!A994)</f>
        <v/>
      </c>
      <c r="B996" s="16">
        <f>IF($A996="","",'Blind Count Entry'!B994)</f>
        <v/>
      </c>
      <c r="C996">
        <f>IF($A996="","",'Blind Count Entry'!C994)</f>
        <v/>
      </c>
      <c r="D996">
        <f>IF($A996="","",'Blind Count Entry'!D994)</f>
        <v/>
      </c>
      <c r="E996">
        <f>IF($A996="","",IFERROR(INDEX('ABC Analysis'!$F:$F,MATCH($C996,'ABC Analysis'!$A:$A,0)),""))</f>
        <v/>
      </c>
      <c r="F996">
        <f>IF($A996="","",IFERROR(INDEX('Master Inventory'!$E:$E,MATCH($C996,'Master Inventory'!$A:$A,0)),0))</f>
        <v/>
      </c>
      <c r="G996">
        <f>IF($A996="","",'Blind Count Entry'!F994)</f>
        <v/>
      </c>
      <c r="H996">
        <f>IF($A996="","",G996-F996)</f>
        <v/>
      </c>
      <c r="I996" s="17">
        <f>IF($A996="","",IF(F996=0,IF(H996=0,0,1),ABS(H996)/F996))</f>
        <v/>
      </c>
      <c r="J996" s="18">
        <f>IF($A996="","",IF($E996="A",$E$1,IF($E996="B",$G$1,$I$1)))</f>
        <v/>
      </c>
      <c r="K996">
        <f>IF($A996="","",IF(H996=0,"MATCH",IF(I996&gt;J996,"RECOUNT","WITHIN TOLERANCE")))</f>
        <v/>
      </c>
      <c r="L996" s="5" t="n"/>
      <c r="M996">
        <f>IF(OR($A996="",$L996=""),"",L996-F996)</f>
        <v/>
      </c>
      <c r="N996" s="5" t="n"/>
      <c r="O996" s="5" t="n"/>
    </row>
    <row r="997">
      <c r="A997">
        <f>IF('Blind Count Entry'!A995="","",'Blind Count Entry'!A995)</f>
        <v/>
      </c>
      <c r="B997" s="16">
        <f>IF($A997="","",'Blind Count Entry'!B995)</f>
        <v/>
      </c>
      <c r="C997">
        <f>IF($A997="","",'Blind Count Entry'!C995)</f>
        <v/>
      </c>
      <c r="D997">
        <f>IF($A997="","",'Blind Count Entry'!D995)</f>
        <v/>
      </c>
      <c r="E997">
        <f>IF($A997="","",IFERROR(INDEX('ABC Analysis'!$F:$F,MATCH($C997,'ABC Analysis'!$A:$A,0)),""))</f>
        <v/>
      </c>
      <c r="F997">
        <f>IF($A997="","",IFERROR(INDEX('Master Inventory'!$E:$E,MATCH($C997,'Master Inventory'!$A:$A,0)),0))</f>
        <v/>
      </c>
      <c r="G997">
        <f>IF($A997="","",'Blind Count Entry'!F995)</f>
        <v/>
      </c>
      <c r="H997">
        <f>IF($A997="","",G997-F997)</f>
        <v/>
      </c>
      <c r="I997" s="17">
        <f>IF($A997="","",IF(F997=0,IF(H997=0,0,1),ABS(H997)/F997))</f>
        <v/>
      </c>
      <c r="J997" s="18">
        <f>IF($A997="","",IF($E997="A",$E$1,IF($E997="B",$G$1,$I$1)))</f>
        <v/>
      </c>
      <c r="K997">
        <f>IF($A997="","",IF(H997=0,"MATCH",IF(I997&gt;J997,"RECOUNT","WITHIN TOLERANCE")))</f>
        <v/>
      </c>
      <c r="L997" s="5" t="n"/>
      <c r="M997">
        <f>IF(OR($A997="",$L997=""),"",L997-F997)</f>
        <v/>
      </c>
      <c r="N997" s="5" t="n"/>
      <c r="O997" s="5" t="n"/>
    </row>
    <row r="998">
      <c r="A998">
        <f>IF('Blind Count Entry'!A996="","",'Blind Count Entry'!A996)</f>
        <v/>
      </c>
      <c r="B998" s="16">
        <f>IF($A998="","",'Blind Count Entry'!B996)</f>
        <v/>
      </c>
      <c r="C998">
        <f>IF($A998="","",'Blind Count Entry'!C996)</f>
        <v/>
      </c>
      <c r="D998">
        <f>IF($A998="","",'Blind Count Entry'!D996)</f>
        <v/>
      </c>
      <c r="E998">
        <f>IF($A998="","",IFERROR(INDEX('ABC Analysis'!$F:$F,MATCH($C998,'ABC Analysis'!$A:$A,0)),""))</f>
        <v/>
      </c>
      <c r="F998">
        <f>IF($A998="","",IFERROR(INDEX('Master Inventory'!$E:$E,MATCH($C998,'Master Inventory'!$A:$A,0)),0))</f>
        <v/>
      </c>
      <c r="G998">
        <f>IF($A998="","",'Blind Count Entry'!F996)</f>
        <v/>
      </c>
      <c r="H998">
        <f>IF($A998="","",G998-F998)</f>
        <v/>
      </c>
      <c r="I998" s="17">
        <f>IF($A998="","",IF(F998=0,IF(H998=0,0,1),ABS(H998)/F998))</f>
        <v/>
      </c>
      <c r="J998" s="18">
        <f>IF($A998="","",IF($E998="A",$E$1,IF($E998="B",$G$1,$I$1)))</f>
        <v/>
      </c>
      <c r="K998">
        <f>IF($A998="","",IF(H998=0,"MATCH",IF(I998&gt;J998,"RECOUNT","WITHIN TOLERANCE")))</f>
        <v/>
      </c>
      <c r="L998" s="5" t="n"/>
      <c r="M998">
        <f>IF(OR($A998="",$L998=""),"",L998-F998)</f>
        <v/>
      </c>
      <c r="N998" s="5" t="n"/>
      <c r="O998" s="5" t="n"/>
    </row>
    <row r="999">
      <c r="A999">
        <f>IF('Blind Count Entry'!A997="","",'Blind Count Entry'!A997)</f>
        <v/>
      </c>
      <c r="B999" s="16">
        <f>IF($A999="","",'Blind Count Entry'!B997)</f>
        <v/>
      </c>
      <c r="C999">
        <f>IF($A999="","",'Blind Count Entry'!C997)</f>
        <v/>
      </c>
      <c r="D999">
        <f>IF($A999="","",'Blind Count Entry'!D997)</f>
        <v/>
      </c>
      <c r="E999">
        <f>IF($A999="","",IFERROR(INDEX('ABC Analysis'!$F:$F,MATCH($C999,'ABC Analysis'!$A:$A,0)),""))</f>
        <v/>
      </c>
      <c r="F999">
        <f>IF($A999="","",IFERROR(INDEX('Master Inventory'!$E:$E,MATCH($C999,'Master Inventory'!$A:$A,0)),0))</f>
        <v/>
      </c>
      <c r="G999">
        <f>IF($A999="","",'Blind Count Entry'!F997)</f>
        <v/>
      </c>
      <c r="H999">
        <f>IF($A999="","",G999-F999)</f>
        <v/>
      </c>
      <c r="I999" s="17">
        <f>IF($A999="","",IF(F999=0,IF(H999=0,0,1),ABS(H999)/F999))</f>
        <v/>
      </c>
      <c r="J999" s="18">
        <f>IF($A999="","",IF($E999="A",$E$1,IF($E999="B",$G$1,$I$1)))</f>
        <v/>
      </c>
      <c r="K999">
        <f>IF($A999="","",IF(H999=0,"MATCH",IF(I999&gt;J999,"RECOUNT","WITHIN TOLERANCE")))</f>
        <v/>
      </c>
      <c r="L999" s="5" t="n"/>
      <c r="M999">
        <f>IF(OR($A999="",$L999=""),"",L999-F999)</f>
        <v/>
      </c>
      <c r="N999" s="5" t="n"/>
      <c r="O999" s="5" t="n"/>
    </row>
    <row r="1000">
      <c r="A1000">
        <f>IF('Blind Count Entry'!A998="","",'Blind Count Entry'!A998)</f>
        <v/>
      </c>
      <c r="B1000" s="16">
        <f>IF($A1000="","",'Blind Count Entry'!B998)</f>
        <v/>
      </c>
      <c r="C1000">
        <f>IF($A1000="","",'Blind Count Entry'!C998)</f>
        <v/>
      </c>
      <c r="D1000">
        <f>IF($A1000="","",'Blind Count Entry'!D998)</f>
        <v/>
      </c>
      <c r="E1000">
        <f>IF($A1000="","",IFERROR(INDEX('ABC Analysis'!$F:$F,MATCH($C1000,'ABC Analysis'!$A:$A,0)),""))</f>
        <v/>
      </c>
      <c r="F1000">
        <f>IF($A1000="","",IFERROR(INDEX('Master Inventory'!$E:$E,MATCH($C1000,'Master Inventory'!$A:$A,0)),0))</f>
        <v/>
      </c>
      <c r="G1000">
        <f>IF($A1000="","",'Blind Count Entry'!F998)</f>
        <v/>
      </c>
      <c r="H1000">
        <f>IF($A1000="","",G1000-F1000)</f>
        <v/>
      </c>
      <c r="I1000" s="17">
        <f>IF($A1000="","",IF(F1000=0,IF(H1000=0,0,1),ABS(H1000)/F1000))</f>
        <v/>
      </c>
      <c r="J1000" s="18">
        <f>IF($A1000="","",IF($E1000="A",$E$1,IF($E1000="B",$G$1,$I$1)))</f>
        <v/>
      </c>
      <c r="K1000">
        <f>IF($A1000="","",IF(H1000=0,"MATCH",IF(I1000&gt;J1000,"RECOUNT","WITHIN TOLERANCE")))</f>
        <v/>
      </c>
      <c r="L1000" s="5" t="n"/>
      <c r="M1000">
        <f>IF(OR($A1000="",$L1000=""),"",L1000-F1000)</f>
        <v/>
      </c>
      <c r="N1000" s="5" t="n"/>
      <c r="O1000" s="5" t="n"/>
    </row>
    <row r="1001">
      <c r="A1001">
        <f>IF('Blind Count Entry'!A999="","",'Blind Count Entry'!A999)</f>
        <v/>
      </c>
      <c r="B1001" s="16">
        <f>IF($A1001="","",'Blind Count Entry'!B999)</f>
        <v/>
      </c>
      <c r="C1001">
        <f>IF($A1001="","",'Blind Count Entry'!C999)</f>
        <v/>
      </c>
      <c r="D1001">
        <f>IF($A1001="","",'Blind Count Entry'!D999)</f>
        <v/>
      </c>
      <c r="E1001">
        <f>IF($A1001="","",IFERROR(INDEX('ABC Analysis'!$F:$F,MATCH($C1001,'ABC Analysis'!$A:$A,0)),""))</f>
        <v/>
      </c>
      <c r="F1001">
        <f>IF($A1001="","",IFERROR(INDEX('Master Inventory'!$E:$E,MATCH($C1001,'Master Inventory'!$A:$A,0)),0))</f>
        <v/>
      </c>
      <c r="G1001">
        <f>IF($A1001="","",'Blind Count Entry'!F999)</f>
        <v/>
      </c>
      <c r="H1001">
        <f>IF($A1001="","",G1001-F1001)</f>
        <v/>
      </c>
      <c r="I1001" s="17">
        <f>IF($A1001="","",IF(F1001=0,IF(H1001=0,0,1),ABS(H1001)/F1001))</f>
        <v/>
      </c>
      <c r="J1001" s="18">
        <f>IF($A1001="","",IF($E1001="A",$E$1,IF($E1001="B",$G$1,$I$1)))</f>
        <v/>
      </c>
      <c r="K1001">
        <f>IF($A1001="","",IF(H1001=0,"MATCH",IF(I1001&gt;J1001,"RECOUNT","WITHIN TOLERANCE")))</f>
        <v/>
      </c>
      <c r="L1001" s="5" t="n"/>
      <c r="M1001">
        <f>IF(OR($A1001="",$L1001=""),"",L1001-F1001)</f>
        <v/>
      </c>
      <c r="N1001" s="5" t="n"/>
      <c r="O1001" s="5" t="n"/>
    </row>
    <row r="1002">
      <c r="A1002">
        <f>IF('Blind Count Entry'!A1000="","",'Blind Count Entry'!A1000)</f>
        <v/>
      </c>
      <c r="B1002" s="16">
        <f>IF($A1002="","",'Blind Count Entry'!B1000)</f>
        <v/>
      </c>
      <c r="C1002">
        <f>IF($A1002="","",'Blind Count Entry'!C1000)</f>
        <v/>
      </c>
      <c r="D1002">
        <f>IF($A1002="","",'Blind Count Entry'!D1000)</f>
        <v/>
      </c>
      <c r="E1002">
        <f>IF($A1002="","",IFERROR(INDEX('ABC Analysis'!$F:$F,MATCH($C1002,'ABC Analysis'!$A:$A,0)),""))</f>
        <v/>
      </c>
      <c r="F1002">
        <f>IF($A1002="","",IFERROR(INDEX('Master Inventory'!$E:$E,MATCH($C1002,'Master Inventory'!$A:$A,0)),0))</f>
        <v/>
      </c>
      <c r="G1002">
        <f>IF($A1002="","",'Blind Count Entry'!F1000)</f>
        <v/>
      </c>
      <c r="H1002">
        <f>IF($A1002="","",G1002-F1002)</f>
        <v/>
      </c>
      <c r="I1002" s="17">
        <f>IF($A1002="","",IF(F1002=0,IF(H1002=0,0,1),ABS(H1002)/F1002))</f>
        <v/>
      </c>
      <c r="J1002" s="18">
        <f>IF($A1002="","",IF($E1002="A",$E$1,IF($E1002="B",$G$1,$I$1)))</f>
        <v/>
      </c>
      <c r="K1002">
        <f>IF($A1002="","",IF(H1002=0,"MATCH",IF(I1002&gt;J1002,"RECOUNT","WITHIN TOLERANCE")))</f>
        <v/>
      </c>
      <c r="L1002" s="5" t="n"/>
      <c r="M1002">
        <f>IF(OR($A1002="",$L1002=""),"",L1002-F1002)</f>
        <v/>
      </c>
      <c r="N1002" s="5" t="n"/>
      <c r="O1002" s="5" t="n"/>
    </row>
    <row r="1003">
      <c r="A1003">
        <f>IF('Blind Count Entry'!A1001="","",'Blind Count Entry'!A1001)</f>
        <v/>
      </c>
      <c r="B1003" s="16">
        <f>IF($A1003="","",'Blind Count Entry'!B1001)</f>
        <v/>
      </c>
      <c r="C1003">
        <f>IF($A1003="","",'Blind Count Entry'!C1001)</f>
        <v/>
      </c>
      <c r="D1003">
        <f>IF($A1003="","",'Blind Count Entry'!D1001)</f>
        <v/>
      </c>
      <c r="E1003">
        <f>IF($A1003="","",IFERROR(INDEX('ABC Analysis'!$F:$F,MATCH($C1003,'ABC Analysis'!$A:$A,0)),""))</f>
        <v/>
      </c>
      <c r="F1003">
        <f>IF($A1003="","",IFERROR(INDEX('Master Inventory'!$E:$E,MATCH($C1003,'Master Inventory'!$A:$A,0)),0))</f>
        <v/>
      </c>
      <c r="G1003">
        <f>IF($A1003="","",'Blind Count Entry'!F1001)</f>
        <v/>
      </c>
      <c r="H1003">
        <f>IF($A1003="","",G1003-F1003)</f>
        <v/>
      </c>
      <c r="I1003" s="17">
        <f>IF($A1003="","",IF(F1003=0,IF(H1003=0,0,1),ABS(H1003)/F1003))</f>
        <v/>
      </c>
      <c r="J1003" s="18">
        <f>IF($A1003="","",IF($E1003="A",$E$1,IF($E1003="B",$G$1,$I$1)))</f>
        <v/>
      </c>
      <c r="K1003">
        <f>IF($A1003="","",IF(H1003=0,"MATCH",IF(I1003&gt;J1003,"RECOUNT","WITHIN TOLERANCE")))</f>
        <v/>
      </c>
      <c r="L1003" s="5" t="n"/>
      <c r="M1003">
        <f>IF(OR($A1003="",$L1003=""),"",L1003-F1003)</f>
        <v/>
      </c>
      <c r="N1003" s="5" t="n"/>
      <c r="O1003" s="5" t="n"/>
    </row>
  </sheetData>
  <conditionalFormatting sqref="K4:K1003">
    <cfRule type="cellIs" priority="1" operator="equal" dxfId="0">
      <formula>"RECOUNT"</formula>
    </cfRule>
    <cfRule type="cellIs" priority="2" operator="equal" dxfId="1">
      <formula>"WITHIN TOLERANCE"</formula>
    </cfRule>
    <cfRule type="cellIs" priority="3" operator="equal" dxfId="2">
      <formula>"MATCH"</formula>
    </cfRule>
  </conditionalFormatting>
  <conditionalFormatting sqref="E4:E1003">
    <cfRule type="cellIs" priority="4" operator="equal" dxfId="0">
      <formula>"A"</formula>
    </cfRule>
    <cfRule type="cellIs" priority="5" operator="equal" dxfId="1">
      <formula>"B"</formula>
    </cfRule>
    <cfRule type="cellIs" priority="6" operator="equal" dxfId="2">
      <formula>"C"</formula>
    </cfRule>
  </conditionalFormatting>
  <dataValidations count="2">
    <dataValidation sqref="N4:N1003" showDropDown="0" showInputMessage="0" showErrorMessage="1" allowBlank="1" errorTitle="Invalid entry" error="Pick a value from the dropdown list." type="list">
      <formula1>"Count error,Receiving error,Shipping error,Damage,Shrinkage/theft,Unit of measure error,Unknown"</formula1>
    </dataValidation>
    <dataValidation sqref="O4:O1003" showDropDown="0" showInputMessage="0" showErrorMessage="1" allowBlank="1" errorTitle="Invalid entry" error="Pick a value from the dropdown list." type="list">
      <formula1>"Pending recount,Adjusted,No action needed"</formula1>
    </dataValidation>
  </dataValidation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42" customWidth="1" min="1" max="1"/>
    <col width="14" customWidth="1" min="2" max="2"/>
  </cols>
  <sheetData>
    <row r="1">
      <c r="A1" s="19" t="inlineStr">
        <is>
          <t>Cycle Count Dashboard</t>
        </is>
      </c>
    </row>
    <row r="3">
      <c r="A3" s="8" t="inlineStr">
        <is>
          <t>Active SKUs</t>
        </is>
      </c>
      <c r="B3" s="10">
        <f>COUNTA('Master Inventory'!$A:$A)-1</f>
        <v/>
      </c>
    </row>
    <row r="4">
      <c r="A4" s="8" t="inlineStr">
        <is>
          <t>A items</t>
        </is>
      </c>
      <c r="B4" s="10">
        <f>COUNTIF('ABC Analysis'!$F:$F,"A")</f>
        <v/>
      </c>
    </row>
    <row r="5">
      <c r="A5" s="8" t="inlineStr">
        <is>
          <t>B items</t>
        </is>
      </c>
      <c r="B5" s="10">
        <f>COUNTIF('ABC Analysis'!$F:$F,"B")</f>
        <v/>
      </c>
    </row>
    <row r="6">
      <c r="A6" s="8" t="inlineStr">
        <is>
          <t>C items</t>
        </is>
      </c>
      <c r="B6" s="10">
        <f>COUNTIF('ABC Analysis'!$F:$F,"C")</f>
        <v/>
      </c>
    </row>
    <row r="8">
      <c r="A8" s="8" t="inlineStr">
        <is>
          <t>Scheduled counts due on or before month-end</t>
        </is>
      </c>
      <c r="B8" s="10">
        <f>COUNTIFS('Count Schedule'!$A:$A,"?*",'Count Schedule'!$F:$F,"&lt;="&amp;EOMONTH(TODAY(),0))</f>
        <v/>
      </c>
    </row>
    <row r="9">
      <c r="A9" s="8" t="inlineStr">
        <is>
          <t>Due items counted this month</t>
        </is>
      </c>
      <c r="B9" s="10">
        <f>COUNTIFS('Count Schedule'!$A:$A,"?*",'Count Schedule'!$F:$F,"&lt;="&amp;EOMONTH(TODAY(),0),'Count Schedule'!$H:$H,"YES")</f>
        <v/>
      </c>
    </row>
    <row r="10">
      <c r="A10" s="8" t="inlineStr">
        <is>
          <t>Monthly completion rate</t>
        </is>
      </c>
      <c r="B10" s="20">
        <f>IF(B8=0,"",B9/B8)</f>
        <v/>
      </c>
    </row>
    <row r="11">
      <c r="A11" s="8" t="inlineStr">
        <is>
          <t>Overdue items right now</t>
        </is>
      </c>
      <c r="B11" s="10">
        <f>COUNTIF('Count Schedule'!$G:$G,"OVERDUE")</f>
        <v/>
      </c>
    </row>
    <row r="13">
      <c r="A13" s="8" t="inlineStr">
        <is>
          <t>Count events recorded this month</t>
        </is>
      </c>
      <c r="B13" s="10">
        <f>COUNTIFS('Blind Count Entry'!$B:$B,"&gt;="&amp;DATE(YEAR(TODAY()),MONTH(TODAY()),1),'Blind Count Entry'!$B:$B,"&lt;="&amp;EOMONTH(TODAY(),0))</f>
        <v/>
      </c>
    </row>
    <row r="14">
      <c r="A14" s="8" t="inlineStr">
        <is>
          <t>Count events reviewed</t>
        </is>
      </c>
      <c r="B14" s="10">
        <f>COUNTIF('Variance Review'!$K:$K,"MATCH")+COUNTIF('Variance Review'!$K:$K,"WITHIN TOLERANCE")+COUNTIF('Variance Review'!$K:$K,"RECOUNT")</f>
        <v/>
      </c>
    </row>
    <row r="15">
      <c r="A15" s="8" t="inlineStr">
        <is>
          <t>First-count pass rate</t>
        </is>
      </c>
      <c r="B15" s="20">
        <f>IF(B14=0,"",(COUNTIF('Variance Review'!$K:$K,"MATCH")+COUNTIF('Variance Review'!$K:$K,"WITHIN TOLERANCE"))/B14)</f>
        <v/>
      </c>
    </row>
    <row r="16">
      <c r="A16" s="8" t="inlineStr">
        <is>
          <t>Recounts still open</t>
        </is>
      </c>
      <c r="B16" s="10">
        <f>COUNTIFS('Variance Review'!$K:$K,"RECOUNT",'Variance Review'!$O:$O,"Pending recount")</f>
        <v/>
      </c>
    </row>
    <row r="17">
      <c r="A17" s="8" t="inlineStr">
        <is>
          <t>Unresolved variances (pending recount)</t>
        </is>
      </c>
      <c r="B17" s="10">
        <f>COUNTIF('Variance Review'!$O:$O,"Pending recount")</f>
        <v/>
      </c>
    </row>
    <row r="19" ht="42" customHeight="1">
      <c r="A19" s="2" t="inlineStr">
        <is>
          <t>All metrics update automatically from the other tabs (COUNTIFS-based, no refresh needed). Monthly completion compares like with like: of the items due by month-end, how many had a count recorded this month. First-count pass rate counts MATCH and WITHIN TOLERANCE results as passes. Sample metrics assume the file is opened in July 2026.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2026-07-29T14:16:35Z</dcterms:created>
  <dcterms:modified xmlns:dcterms="http://purl.org/dc/terms/" xmlns:xsi="http://www.w3.org/2001/XMLSchema-instance" xsi:type="dcterms:W3CDTF">2026-07-29T14:16:36Z</dcterms:modified>
</cp:coreProperties>
</file>